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Татьяна\Documents\Законодательство\ЦБРФ_анализ\ФСБУ Аренда\10 декабря_ФСБУ\На сайт\"/>
    </mc:Choice>
  </mc:AlternateContent>
  <bookViews>
    <workbookView xWindow="0" yWindow="0" windowWidth="20400" windowHeight="7620" activeTab="1"/>
  </bookViews>
  <sheets>
    <sheet name="аудиторы" sheetId="8" r:id="rId1"/>
    <sheet name="БУ +НУ на балансеЛП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4" i="7" l="1"/>
  <c r="U193" i="7"/>
  <c r="U192" i="7"/>
  <c r="R189" i="7"/>
  <c r="U189" i="7" s="1"/>
  <c r="M189" i="7"/>
  <c r="U188" i="7"/>
  <c r="U187" i="7"/>
  <c r="U186" i="7"/>
  <c r="U184" i="7"/>
  <c r="U185" i="7"/>
  <c r="U183" i="7"/>
  <c r="S193" i="7"/>
  <c r="P195" i="7"/>
  <c r="D186" i="7"/>
  <c r="M132" i="7" l="1"/>
  <c r="T86" i="7" l="1"/>
  <c r="F192" i="7" l="1"/>
  <c r="I191" i="7"/>
  <c r="P173" i="7"/>
  <c r="M168" i="7"/>
  <c r="C170" i="7"/>
  <c r="B170" i="7"/>
  <c r="B172" i="7" s="1"/>
  <c r="B173" i="7" s="1"/>
  <c r="D167" i="7"/>
  <c r="T155" i="7"/>
  <c r="O155" i="7"/>
  <c r="I154" i="7"/>
  <c r="S152" i="7"/>
  <c r="U152" i="7" s="1"/>
  <c r="R169" i="7" s="1"/>
  <c r="C153" i="7"/>
  <c r="B152" i="7"/>
  <c r="B153" i="7" s="1"/>
  <c r="D150" i="7"/>
  <c r="P131" i="7"/>
  <c r="E130" i="7"/>
  <c r="S127" i="7"/>
  <c r="U127" i="7" s="1"/>
  <c r="R148" i="7" s="1"/>
  <c r="N127" i="7"/>
  <c r="B127" i="7"/>
  <c r="F119" i="7"/>
  <c r="F186" i="7" s="1"/>
  <c r="C119" i="7"/>
  <c r="B185" i="7" s="1"/>
  <c r="B193" i="7" s="1"/>
  <c r="B195" i="7" s="1"/>
  <c r="F117" i="7"/>
  <c r="C117" i="7"/>
  <c r="F115" i="7"/>
  <c r="C115" i="7"/>
  <c r="F113" i="7"/>
  <c r="C113" i="7"/>
  <c r="F111" i="7"/>
  <c r="C111" i="7"/>
  <c r="F109" i="7"/>
  <c r="C109" i="7"/>
  <c r="F107" i="7"/>
  <c r="C107" i="7"/>
  <c r="C105" i="7"/>
  <c r="F103" i="7"/>
  <c r="C103" i="7"/>
  <c r="L101" i="7"/>
  <c r="F101" i="7"/>
  <c r="C101" i="7"/>
  <c r="M100" i="7"/>
  <c r="L100" i="7"/>
  <c r="M99" i="7"/>
  <c r="L99" i="7"/>
  <c r="F99" i="7"/>
  <c r="C99" i="7"/>
  <c r="M98" i="7"/>
  <c r="L98" i="7"/>
  <c r="M97" i="7"/>
  <c r="L97" i="7"/>
  <c r="F97" i="7"/>
  <c r="C97" i="7"/>
  <c r="M96" i="7"/>
  <c r="L96" i="7"/>
  <c r="M95" i="7"/>
  <c r="L95" i="7"/>
  <c r="F95" i="7"/>
  <c r="C95" i="7"/>
  <c r="M94" i="7"/>
  <c r="L94" i="7"/>
  <c r="M93" i="7"/>
  <c r="L93" i="7"/>
  <c r="F93" i="7"/>
  <c r="C93" i="7"/>
  <c r="M92" i="7"/>
  <c r="L92" i="7"/>
  <c r="M91" i="7"/>
  <c r="L91" i="7"/>
  <c r="F91" i="7"/>
  <c r="F167" i="7" s="1"/>
  <c r="N170" i="7" s="1"/>
  <c r="C91" i="7"/>
  <c r="B166" i="7" s="1"/>
  <c r="B167" i="7" s="1"/>
  <c r="M90" i="7"/>
  <c r="L90" i="7"/>
  <c r="M89" i="7"/>
  <c r="L89" i="7"/>
  <c r="F89" i="7"/>
  <c r="F150" i="7" s="1"/>
  <c r="C89" i="7"/>
  <c r="B148" i="7" s="1"/>
  <c r="B149" i="7" s="1"/>
  <c r="B150" i="7" s="1"/>
  <c r="B151" i="7" s="1"/>
  <c r="M88" i="7"/>
  <c r="L88" i="7"/>
  <c r="C88" i="7"/>
  <c r="M87" i="7"/>
  <c r="L87" i="7"/>
  <c r="D87" i="7"/>
  <c r="E68" i="7" s="1"/>
  <c r="M86" i="7"/>
  <c r="L86" i="7"/>
  <c r="S85" i="7"/>
  <c r="L85" i="7"/>
  <c r="P84" i="7"/>
  <c r="O84" i="7"/>
  <c r="N84" i="7"/>
  <c r="M84" i="7"/>
  <c r="L84" i="7"/>
  <c r="K79" i="7"/>
  <c r="F79" i="7"/>
  <c r="C77" i="7"/>
  <c r="F75" i="7"/>
  <c r="F74" i="7"/>
  <c r="C59" i="7"/>
  <c r="K74" i="7" s="1"/>
  <c r="C56" i="7"/>
  <c r="B129" i="7" s="1"/>
  <c r="B130" i="7" s="1"/>
  <c r="E51" i="7"/>
  <c r="E119" i="7" s="1"/>
  <c r="F187" i="7" s="1"/>
  <c r="N193" i="7" s="1"/>
  <c r="E50" i="7"/>
  <c r="E117" i="7" s="1"/>
  <c r="M49" i="7"/>
  <c r="P101" i="7" s="1"/>
  <c r="J49" i="7"/>
  <c r="M101" i="7" s="1"/>
  <c r="E49" i="7"/>
  <c r="E115" i="7" s="1"/>
  <c r="M48" i="7"/>
  <c r="P100" i="7" s="1"/>
  <c r="E48" i="7"/>
  <c r="M47" i="7"/>
  <c r="P99" i="7" s="1"/>
  <c r="E47" i="7"/>
  <c r="E111" i="7" s="1"/>
  <c r="M46" i="7"/>
  <c r="P98" i="7" s="1"/>
  <c r="E46" i="7"/>
  <c r="E109" i="7" s="1"/>
  <c r="M45" i="7"/>
  <c r="P97" i="7" s="1"/>
  <c r="E45" i="7"/>
  <c r="E107" i="7" s="1"/>
  <c r="M44" i="7"/>
  <c r="P96" i="7" s="1"/>
  <c r="F44" i="7"/>
  <c r="M42" i="7" s="1"/>
  <c r="P94" i="7" s="1"/>
  <c r="M43" i="7"/>
  <c r="P95" i="7" s="1"/>
  <c r="E43" i="7"/>
  <c r="E103" i="7" s="1"/>
  <c r="E42" i="7"/>
  <c r="E101" i="7" s="1"/>
  <c r="M41" i="7"/>
  <c r="P93" i="7" s="1"/>
  <c r="E41" i="7"/>
  <c r="L39" i="7" s="1"/>
  <c r="O91" i="7" s="1"/>
  <c r="M40" i="7"/>
  <c r="P92" i="7" s="1"/>
  <c r="E40" i="7"/>
  <c r="D40" i="7" s="1"/>
  <c r="K38" i="7" s="1"/>
  <c r="N90" i="7" s="1"/>
  <c r="M39" i="7"/>
  <c r="P91" i="7" s="1"/>
  <c r="E39" i="7"/>
  <c r="L37" i="7" s="1"/>
  <c r="O89" i="7" s="1"/>
  <c r="M38" i="7"/>
  <c r="P90" i="7" s="1"/>
  <c r="E38" i="7"/>
  <c r="E93" i="7" s="1"/>
  <c r="M37" i="7"/>
  <c r="P89" i="7" s="1"/>
  <c r="E37" i="7"/>
  <c r="D37" i="7" s="1"/>
  <c r="K35" i="7" s="1"/>
  <c r="N87" i="7" s="1"/>
  <c r="M36" i="7"/>
  <c r="P88" i="7" s="1"/>
  <c r="E36" i="7"/>
  <c r="D36" i="7" s="1"/>
  <c r="M35" i="7"/>
  <c r="P87" i="7" s="1"/>
  <c r="I173" i="7" s="1"/>
  <c r="S170" i="7" s="1"/>
  <c r="E35" i="7"/>
  <c r="E87" i="7" s="1"/>
  <c r="C35" i="7"/>
  <c r="C87" i="7" s="1"/>
  <c r="A68" i="7" s="1"/>
  <c r="K34" i="7"/>
  <c r="F27" i="7"/>
  <c r="C25" i="7"/>
  <c r="C22" i="7"/>
  <c r="J4" i="7"/>
  <c r="F76" i="7" l="1"/>
  <c r="M186" i="7" s="1"/>
  <c r="O189" i="7"/>
  <c r="N192" i="7"/>
  <c r="I193" i="7"/>
  <c r="S184" i="7" s="1"/>
  <c r="T189" i="7"/>
  <c r="N184" i="7"/>
  <c r="O183" i="7"/>
  <c r="L40" i="7"/>
  <c r="O92" i="7" s="1"/>
  <c r="D42" i="7"/>
  <c r="K40" i="7" s="1"/>
  <c r="N92" i="7" s="1"/>
  <c r="L49" i="7"/>
  <c r="I195" i="7" s="1"/>
  <c r="L36" i="7"/>
  <c r="O88" i="7" s="1"/>
  <c r="D38" i="7"/>
  <c r="K36" i="7" s="1"/>
  <c r="N88" i="7" s="1"/>
  <c r="B132" i="7"/>
  <c r="B133" i="7" s="1"/>
  <c r="B134" i="7" s="1"/>
  <c r="B135" i="7" s="1"/>
  <c r="B131" i="7"/>
  <c r="D49" i="7"/>
  <c r="D115" i="7" s="1"/>
  <c r="L35" i="7"/>
  <c r="O87" i="7" s="1"/>
  <c r="F176" i="7" s="1"/>
  <c r="D39" i="7"/>
  <c r="K37" i="7" s="1"/>
  <c r="N89" i="7" s="1"/>
  <c r="E97" i="7"/>
  <c r="E95" i="7"/>
  <c r="B192" i="7"/>
  <c r="L38" i="7"/>
  <c r="O90" i="7" s="1"/>
  <c r="D51" i="7"/>
  <c r="K49" i="7" s="1"/>
  <c r="N101" i="7" s="1"/>
  <c r="E89" i="7"/>
  <c r="F151" i="7" s="1"/>
  <c r="D45" i="7"/>
  <c r="D107" i="7" s="1"/>
  <c r="D46" i="7"/>
  <c r="D109" i="7" s="1"/>
  <c r="L41" i="7"/>
  <c r="O93" i="7" s="1"/>
  <c r="D43" i="7"/>
  <c r="D103" i="7" s="1"/>
  <c r="L44" i="7"/>
  <c r="O96" i="7" s="1"/>
  <c r="L45" i="7"/>
  <c r="O97" i="7" s="1"/>
  <c r="O101" i="7"/>
  <c r="F195" i="7" s="1"/>
  <c r="I174" i="7"/>
  <c r="S171" i="7" s="1"/>
  <c r="F81" i="7"/>
  <c r="I90" i="7" s="1"/>
  <c r="N86" i="7"/>
  <c r="F105" i="7"/>
  <c r="E44" i="7"/>
  <c r="F30" i="7"/>
  <c r="E113" i="7"/>
  <c r="D48" i="7"/>
  <c r="I185" i="7"/>
  <c r="K80" i="7"/>
  <c r="D41" i="7"/>
  <c r="E99" i="7"/>
  <c r="D91" i="7"/>
  <c r="B155" i="7"/>
  <c r="B156" i="7" s="1"/>
  <c r="B157" i="7" s="1"/>
  <c r="B158" i="7" s="1"/>
  <c r="B159" i="7" s="1"/>
  <c r="B154" i="7"/>
  <c r="E34" i="7"/>
  <c r="C16" i="7" s="1"/>
  <c r="C21" i="7"/>
  <c r="F35" i="7"/>
  <c r="L34" i="7"/>
  <c r="L43" i="7"/>
  <c r="O95" i="7" s="1"/>
  <c r="L46" i="7"/>
  <c r="O98" i="7" s="1"/>
  <c r="L47" i="7"/>
  <c r="O99" i="7" s="1"/>
  <c r="F130" i="7"/>
  <c r="H68" i="7"/>
  <c r="I158" i="7" s="1"/>
  <c r="D89" i="7"/>
  <c r="E91" i="7"/>
  <c r="F168" i="7" s="1"/>
  <c r="D97" i="7"/>
  <c r="D47" i="7"/>
  <c r="L48" i="7"/>
  <c r="O100" i="7" s="1"/>
  <c r="D50" i="7"/>
  <c r="U148" i="7"/>
  <c r="R166" i="7"/>
  <c r="B176" i="7"/>
  <c r="B174" i="7"/>
  <c r="P127" i="7"/>
  <c r="M148" i="7" s="1"/>
  <c r="B171" i="7"/>
  <c r="I176" i="7" l="1"/>
  <c r="K43" i="7"/>
  <c r="N95" i="7" s="1"/>
  <c r="K41" i="7"/>
  <c r="N93" i="7" s="1"/>
  <c r="O193" i="7"/>
  <c r="P193" i="7" s="1"/>
  <c r="N191" i="7"/>
  <c r="T183" i="7"/>
  <c r="S185" i="7"/>
  <c r="I186" i="7"/>
  <c r="R186" i="7"/>
  <c r="D101" i="7"/>
  <c r="S191" i="7"/>
  <c r="T193" i="7"/>
  <c r="P184" i="7"/>
  <c r="F193" i="7"/>
  <c r="D119" i="7"/>
  <c r="F171" i="7"/>
  <c r="O166" i="7" s="1"/>
  <c r="K47" i="7"/>
  <c r="N99" i="7" s="1"/>
  <c r="K44" i="7"/>
  <c r="N96" i="7" s="1"/>
  <c r="D93" i="7"/>
  <c r="S151" i="7"/>
  <c r="T153" i="7"/>
  <c r="D95" i="7"/>
  <c r="N171" i="7"/>
  <c r="O168" i="7"/>
  <c r="P168" i="7" s="1"/>
  <c r="E105" i="7"/>
  <c r="M191" i="7" s="1"/>
  <c r="P191" i="7" s="1"/>
  <c r="L42" i="7"/>
  <c r="O94" i="7" s="1"/>
  <c r="D44" i="7"/>
  <c r="P189" i="7" s="1"/>
  <c r="D117" i="7"/>
  <c r="K48" i="7"/>
  <c r="N100" i="7" s="1"/>
  <c r="F131" i="7"/>
  <c r="N130" i="7" s="1"/>
  <c r="N132" i="7" s="1"/>
  <c r="K39" i="7"/>
  <c r="D99" i="7"/>
  <c r="M166" i="7"/>
  <c r="P166" i="7" s="1"/>
  <c r="T171" i="7"/>
  <c r="S169" i="7"/>
  <c r="U169" i="7" s="1"/>
  <c r="O86" i="7"/>
  <c r="Q99" i="7"/>
  <c r="R99" i="7" s="1"/>
  <c r="Q97" i="7"/>
  <c r="R97" i="7" s="1"/>
  <c r="Q98" i="7"/>
  <c r="R98" i="7" s="1"/>
  <c r="Q87" i="7"/>
  <c r="T87" i="7" s="1"/>
  <c r="Q100" i="7"/>
  <c r="R100" i="7" s="1"/>
  <c r="Q95" i="7"/>
  <c r="R95" i="7" s="1"/>
  <c r="Q93" i="7"/>
  <c r="R93" i="7" s="1"/>
  <c r="Q91" i="7"/>
  <c r="R91" i="7" s="1"/>
  <c r="Q89" i="7"/>
  <c r="R89" i="7" s="1"/>
  <c r="Q92" i="7"/>
  <c r="R92" i="7" s="1"/>
  <c r="Q96" i="7"/>
  <c r="R96" i="7" s="1"/>
  <c r="Q94" i="7"/>
  <c r="R94" i="7" s="1"/>
  <c r="Q88" i="7"/>
  <c r="R88" i="7" s="1"/>
  <c r="Q90" i="7"/>
  <c r="R90" i="7" s="1"/>
  <c r="I114" i="7"/>
  <c r="J114" i="7" s="1"/>
  <c r="I110" i="7"/>
  <c r="J110" i="7" s="1"/>
  <c r="I106" i="7"/>
  <c r="J106" i="7" s="1"/>
  <c r="I102" i="7"/>
  <c r="J102" i="7" s="1"/>
  <c r="I119" i="7"/>
  <c r="J119" i="7" s="1"/>
  <c r="I116" i="7"/>
  <c r="J116" i="7" s="1"/>
  <c r="I112" i="7"/>
  <c r="J112" i="7" s="1"/>
  <c r="I108" i="7"/>
  <c r="J108" i="7" s="1"/>
  <c r="I104" i="7"/>
  <c r="J104" i="7" s="1"/>
  <c r="I100" i="7"/>
  <c r="J100" i="7" s="1"/>
  <c r="I98" i="7"/>
  <c r="J98" i="7" s="1"/>
  <c r="I96" i="7"/>
  <c r="J96" i="7" s="1"/>
  <c r="I94" i="7"/>
  <c r="J94" i="7" s="1"/>
  <c r="I92" i="7"/>
  <c r="J92" i="7" s="1"/>
  <c r="E86" i="7"/>
  <c r="M34" i="7"/>
  <c r="F87" i="7"/>
  <c r="C20" i="7"/>
  <c r="F34" i="7"/>
  <c r="C15" i="7" s="1"/>
  <c r="J90" i="7"/>
  <c r="O171" i="7"/>
  <c r="N169" i="7"/>
  <c r="R165" i="7"/>
  <c r="D111" i="7"/>
  <c r="K45" i="7"/>
  <c r="N97" i="7" s="1"/>
  <c r="D113" i="7"/>
  <c r="K46" i="7"/>
  <c r="N98" i="7" s="1"/>
  <c r="T168" i="7"/>
  <c r="S186" i="7" l="1"/>
  <c r="O85" i="7"/>
  <c r="R191" i="7"/>
  <c r="N186" i="7"/>
  <c r="O187" i="7"/>
  <c r="P187" i="7" s="1"/>
  <c r="O128" i="7"/>
  <c r="T88" i="7"/>
  <c r="T89" i="7" s="1"/>
  <c r="T90" i="7" s="1"/>
  <c r="T91" i="7" s="1"/>
  <c r="T92" i="7" s="1"/>
  <c r="T93" i="7" s="1"/>
  <c r="T94" i="7" s="1"/>
  <c r="T95" i="7" s="1"/>
  <c r="T96" i="7" s="1"/>
  <c r="T97" i="7" s="1"/>
  <c r="T98" i="7" s="1"/>
  <c r="T99" i="7" s="1"/>
  <c r="T100" i="7" s="1"/>
  <c r="T101" i="7" s="1"/>
  <c r="L33" i="7"/>
  <c r="F159" i="7"/>
  <c r="N152" i="7" s="1"/>
  <c r="P152" i="7" s="1"/>
  <c r="M169" i="7" s="1"/>
  <c r="P169" i="7" s="1"/>
  <c r="I157" i="7"/>
  <c r="S155" i="7" s="1"/>
  <c r="R171" i="7" s="1"/>
  <c r="U171" i="7" s="1"/>
  <c r="F86" i="7"/>
  <c r="F88" i="7"/>
  <c r="I171" i="7"/>
  <c r="Q85" i="7"/>
  <c r="R87" i="7"/>
  <c r="I170" i="7" s="1"/>
  <c r="N91" i="7"/>
  <c r="U165" i="7"/>
  <c r="R183" i="7" s="1"/>
  <c r="P148" i="7"/>
  <c r="R128" i="7"/>
  <c r="P128" i="7"/>
  <c r="P86" i="7"/>
  <c r="M33" i="7"/>
  <c r="P85" i="7" s="1"/>
  <c r="P130" i="7"/>
  <c r="M155" i="7" s="1"/>
  <c r="M171" i="7" s="1"/>
  <c r="P171" i="7" s="1"/>
  <c r="K42" i="7"/>
  <c r="N94" i="7" s="1"/>
  <c r="D105" i="7"/>
  <c r="D86" i="7" s="1"/>
  <c r="D34" i="7"/>
  <c r="C17" i="7" s="1"/>
  <c r="P186" i="7" l="1"/>
  <c r="I187" i="7"/>
  <c r="R192" i="7"/>
  <c r="U191" i="7"/>
  <c r="U196" i="7" s="1"/>
  <c r="U128" i="7"/>
  <c r="R132" i="7"/>
  <c r="K33" i="7"/>
  <c r="N85" i="7" s="1"/>
  <c r="I156" i="7"/>
  <c r="R86" i="7"/>
  <c r="U86" i="7" s="1"/>
  <c r="U87" i="7" s="1"/>
  <c r="U88" i="7" s="1"/>
  <c r="U89" i="7" s="1"/>
  <c r="U90" i="7" s="1"/>
  <c r="U91" i="7" s="1"/>
  <c r="U92" i="7" s="1"/>
  <c r="U93" i="7" s="1"/>
  <c r="U94" i="7" s="1"/>
  <c r="U95" i="7" s="1"/>
  <c r="U96" i="7" s="1"/>
  <c r="U97" i="7" s="1"/>
  <c r="U98" i="7" s="1"/>
  <c r="U99" i="7" s="1"/>
  <c r="U100" i="7" s="1"/>
  <c r="U101" i="7" s="1"/>
  <c r="M165" i="7"/>
  <c r="M183" i="7" s="1"/>
  <c r="H88" i="7"/>
  <c r="G83" i="7"/>
  <c r="T173" i="7"/>
  <c r="S167" i="7"/>
  <c r="T166" i="7"/>
  <c r="I172" i="7"/>
  <c r="S192" i="7" l="1"/>
  <c r="S196" i="7" s="1"/>
  <c r="T185" i="7"/>
  <c r="T196" i="7" s="1"/>
  <c r="P183" i="7"/>
  <c r="U85" i="7"/>
  <c r="R194" i="7"/>
  <c r="R196" i="7" s="1"/>
  <c r="R153" i="7"/>
  <c r="F129" i="7"/>
  <c r="O129" i="7" s="1"/>
  <c r="O132" i="7" s="1"/>
  <c r="G89" i="7"/>
  <c r="P165" i="7"/>
  <c r="T167" i="7"/>
  <c r="T174" i="7" s="1"/>
  <c r="S172" i="7"/>
  <c r="S174" i="7" s="1"/>
  <c r="U166" i="7"/>
  <c r="I153" i="7"/>
  <c r="R85" i="7"/>
  <c r="I135" i="7" s="1"/>
  <c r="S154" i="7"/>
  <c r="T151" i="7"/>
  <c r="R168" i="7" l="1"/>
  <c r="U168" i="7" s="1"/>
  <c r="H89" i="7"/>
  <c r="G90" i="7" s="1"/>
  <c r="S131" i="7"/>
  <c r="S132" i="7" s="1"/>
  <c r="T129" i="7"/>
  <c r="T132" i="7" s="1"/>
  <c r="T157" i="7"/>
  <c r="S150" i="7"/>
  <c r="I155" i="7"/>
  <c r="P129" i="7"/>
  <c r="P132" i="7" s="1"/>
  <c r="F153" i="7" l="1"/>
  <c r="O154" i="7" s="1"/>
  <c r="N150" i="7"/>
  <c r="H90" i="7"/>
  <c r="G91" i="7" s="1"/>
  <c r="M154" i="7"/>
  <c r="U131" i="7"/>
  <c r="R157" i="7" s="1"/>
  <c r="U157" i="7" s="1"/>
  <c r="R173" i="7" s="1"/>
  <c r="U173" i="7" s="1"/>
  <c r="T150" i="7"/>
  <c r="T158" i="7" s="1"/>
  <c r="S156" i="7"/>
  <c r="U156" i="7" s="1"/>
  <c r="R172" i="7" s="1"/>
  <c r="U172" i="7" s="1"/>
  <c r="U129" i="7"/>
  <c r="U132" i="7" l="1"/>
  <c r="F166" i="7"/>
  <c r="F155" i="7"/>
  <c r="O150" i="7" s="1"/>
  <c r="O158" i="7"/>
  <c r="S158" i="7"/>
  <c r="R154" i="7"/>
  <c r="P154" i="7"/>
  <c r="M170" i="7" s="1"/>
  <c r="M158" i="7"/>
  <c r="H91" i="7"/>
  <c r="N156" i="7" l="1"/>
  <c r="P156" i="7" s="1"/>
  <c r="M172" i="7" s="1"/>
  <c r="R167" i="7"/>
  <c r="U167" i="7" s="1"/>
  <c r="M167" i="7"/>
  <c r="P158" i="7"/>
  <c r="G92" i="7"/>
  <c r="M174" i="7"/>
  <c r="U154" i="7"/>
  <c r="U158" i="7" s="1"/>
  <c r="R158" i="7"/>
  <c r="N158" i="7" l="1"/>
  <c r="F170" i="7"/>
  <c r="F172" i="7" s="1"/>
  <c r="N172" i="7" s="1"/>
  <c r="P172" i="7" s="1"/>
  <c r="R170" i="7"/>
  <c r="H92" i="7"/>
  <c r="N167" i="7" l="1"/>
  <c r="O167" i="7" s="1"/>
  <c r="O170" i="7"/>
  <c r="P170" i="7" s="1"/>
  <c r="G93" i="7"/>
  <c r="N174" i="7"/>
  <c r="U170" i="7"/>
  <c r="U174" i="7" s="1"/>
  <c r="R174" i="7"/>
  <c r="O174" i="7" l="1"/>
  <c r="H93" i="7"/>
  <c r="G94" i="7" s="1"/>
  <c r="H94" i="7" s="1"/>
  <c r="P167" i="7"/>
  <c r="P174" i="7" s="1"/>
  <c r="G95" i="7" l="1"/>
  <c r="H95" i="7" l="1"/>
  <c r="G96" i="7" s="1"/>
  <c r="H96" i="7" s="1"/>
  <c r="G97" i="7" l="1"/>
  <c r="H97" i="7" s="1"/>
  <c r="G98" i="7" l="1"/>
  <c r="H98" i="7" s="1"/>
  <c r="G99" i="7" l="1"/>
  <c r="H99" i="7" s="1"/>
  <c r="G100" i="7" l="1"/>
  <c r="H100" i="7" s="1"/>
  <c r="G101" i="7" l="1"/>
  <c r="H101" i="7" s="1"/>
  <c r="G102" i="7" l="1"/>
  <c r="H102" i="7" s="1"/>
  <c r="G103" i="7" l="1"/>
  <c r="H103" i="7" s="1"/>
  <c r="G104" i="7" l="1"/>
  <c r="H104" i="7" s="1"/>
  <c r="G105" i="7" l="1"/>
  <c r="H105" i="7" s="1"/>
  <c r="G106" i="7" l="1"/>
  <c r="H106" i="7" s="1"/>
  <c r="G107" i="7" l="1"/>
  <c r="H107" i="7" s="1"/>
  <c r="G108" i="7" l="1"/>
  <c r="H108" i="7" s="1"/>
  <c r="G109" i="7" l="1"/>
  <c r="H109" i="7" s="1"/>
  <c r="G110" i="7" l="1"/>
  <c r="H110" i="7" s="1"/>
  <c r="G111" i="7" l="1"/>
  <c r="H111" i="7" s="1"/>
  <c r="G112" i="7" l="1"/>
  <c r="H112" i="7" s="1"/>
  <c r="G113" i="7" l="1"/>
  <c r="H113" i="7" s="1"/>
  <c r="G114" i="7" l="1"/>
  <c r="H114" i="7" s="1"/>
  <c r="G115" i="7" l="1"/>
  <c r="H115" i="7" s="1"/>
  <c r="G116" i="7" l="1"/>
  <c r="H116" i="7" s="1"/>
  <c r="G117" i="7" l="1"/>
  <c r="H117" i="7" s="1"/>
  <c r="G118" i="7" l="1"/>
  <c r="H118" i="7" l="1"/>
  <c r="M192" i="7" s="1"/>
  <c r="M194" i="7"/>
  <c r="G119" i="7" l="1"/>
  <c r="F185" i="7" s="1"/>
  <c r="H119" i="7"/>
  <c r="M196" i="7"/>
  <c r="G86" i="7" l="1"/>
  <c r="N188" i="7"/>
  <c r="O192" i="7"/>
  <c r="P192" i="7" s="1"/>
  <c r="F188" i="7"/>
  <c r="N194" i="7" l="1"/>
  <c r="P194" i="7" s="1"/>
  <c r="O188" i="7"/>
  <c r="O196" i="7" s="1"/>
  <c r="N196" i="7" l="1"/>
  <c r="P188" i="7"/>
  <c r="P196" i="7" s="1"/>
  <c r="Y174" i="7"/>
</calcChain>
</file>

<file path=xl/sharedStrings.xml><?xml version="1.0" encoding="utf-8"?>
<sst xmlns="http://schemas.openxmlformats.org/spreadsheetml/2006/main" count="500" uniqueCount="246">
  <si>
    <t>№ п/п</t>
  </si>
  <si>
    <t>1.1.</t>
  </si>
  <si>
    <t>1.2.</t>
  </si>
  <si>
    <t>1.3.</t>
  </si>
  <si>
    <r>
      <rPr>
        <sz val="7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Исходя из требований ФСБУ 25/2018 аренда  по договору квалифицируется как неоперационная</t>
    </r>
  </si>
  <si>
    <t>1.4.</t>
  </si>
  <si>
    <t>1.5.</t>
  </si>
  <si>
    <t>1.6.</t>
  </si>
  <si>
    <t>2.</t>
  </si>
  <si>
    <t>Параметры договора</t>
  </si>
  <si>
    <t>Параметр</t>
  </si>
  <si>
    <t>Значение</t>
  </si>
  <si>
    <t>Дата передачи в аренду</t>
  </si>
  <si>
    <t>Срок аренды, мес.</t>
  </si>
  <si>
    <t>3.</t>
  </si>
  <si>
    <t>4.</t>
  </si>
  <si>
    <t xml:space="preserve"> График платежей по договору</t>
  </si>
  <si>
    <t>№ платежа</t>
  </si>
  <si>
    <t>Дата</t>
  </si>
  <si>
    <t>Сумма с НДС, руб.</t>
  </si>
  <si>
    <t>НДС, руб.</t>
  </si>
  <si>
    <t>Сумма без НДС, руб.</t>
  </si>
  <si>
    <t>ИТОГО с авансом: </t>
  </si>
  <si>
    <t>Аванс</t>
  </si>
  <si>
    <t>Выкуп</t>
  </si>
  <si>
    <t>1.</t>
  </si>
  <si>
    <t>Дата начала аренды</t>
  </si>
  <si>
    <t>% начисленные по БУ (сч. 20)</t>
  </si>
  <si>
    <t>Итого с авансом</t>
  </si>
  <si>
    <t>Передача в аренду</t>
  </si>
  <si>
    <t>Журнал операций у лизингополучателя</t>
  </si>
  <si>
    <t>БУ</t>
  </si>
  <si>
    <t>НУ</t>
  </si>
  <si>
    <t>Д-т</t>
  </si>
  <si>
    <t>К-т</t>
  </si>
  <si>
    <t>Сумма</t>
  </si>
  <si>
    <t>Оплата аванса с НДС 20%</t>
  </si>
  <si>
    <t>Формирование фактической стоимости ППА</t>
  </si>
  <si>
    <t>08</t>
  </si>
  <si>
    <t>76Обязат</t>
  </si>
  <si>
    <t>01Аренда</t>
  </si>
  <si>
    <t>Начисление % расхода</t>
  </si>
  <si>
    <t>Начислен ЛП к оплате по Графику</t>
  </si>
  <si>
    <t>Начислен НДС на ЛП к оплате</t>
  </si>
  <si>
    <t>76НДС</t>
  </si>
  <si>
    <t>Начисление амортизации по ППА</t>
  </si>
  <si>
    <t>02Аренда</t>
  </si>
  <si>
    <t>20</t>
  </si>
  <si>
    <t>60.01</t>
  </si>
  <si>
    <t>ППА принят к учету в составе собственных ОС</t>
  </si>
  <si>
    <t>Амортизация по ППА учтена как амортизация по собственному ОС</t>
  </si>
  <si>
    <t>Зачет аванса</t>
  </si>
  <si>
    <t>60</t>
  </si>
  <si>
    <r>
      <rPr>
        <b/>
        <sz val="11"/>
        <color theme="1"/>
        <rFont val="Calibri"/>
        <family val="2"/>
        <charset val="204"/>
        <scheme val="minor"/>
      </rPr>
      <t>Дополнительные услуги</t>
    </r>
    <r>
      <rPr>
        <sz val="11"/>
        <color theme="1"/>
        <rFont val="Calibri"/>
        <family val="2"/>
        <charset val="204"/>
        <scheme val="minor"/>
      </rPr>
      <t xml:space="preserve">: помощь на дороге, заправочная карта, техническое обслуживание предмета аренды </t>
    </r>
  </si>
  <si>
    <r>
      <rPr>
        <b/>
        <sz val="12"/>
        <rFont val="Calibri"/>
        <family val="2"/>
        <charset val="204"/>
        <scheme val="minor"/>
      </rPr>
      <t>Выбор предмета аренды</t>
    </r>
    <r>
      <rPr>
        <sz val="12"/>
        <rFont val="Calibri"/>
        <family val="2"/>
        <charset val="204"/>
        <scheme val="minor"/>
      </rPr>
      <t>, продавца и условий приобретения предмета  аренды осуществи</t>
    </r>
    <r>
      <rPr>
        <b/>
        <sz val="12"/>
        <rFont val="Calibri"/>
        <family val="2"/>
        <charset val="204"/>
        <scheme val="minor"/>
      </rPr>
      <t>л арендатор</t>
    </r>
  </si>
  <si>
    <r>
      <t>По условиям договора платежи, уплаченные до начала аренды (</t>
    </r>
    <r>
      <rPr>
        <b/>
        <sz val="12"/>
        <rFont val="Calibri"/>
        <family val="2"/>
        <charset val="204"/>
        <scheme val="minor"/>
      </rPr>
      <t>аванс</t>
    </r>
    <r>
      <rPr>
        <sz val="12"/>
        <rFont val="Calibri"/>
        <family val="2"/>
        <charset val="204"/>
        <scheme val="minor"/>
      </rPr>
      <t xml:space="preserve">)  </t>
    </r>
    <r>
      <rPr>
        <b/>
        <sz val="12"/>
        <rFont val="Calibri"/>
        <family val="2"/>
        <charset val="204"/>
        <scheme val="minor"/>
      </rPr>
      <t xml:space="preserve">не 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 xml:space="preserve">обладает </t>
    </r>
    <r>
      <rPr>
        <sz val="12"/>
        <rFont val="Calibri"/>
        <family val="2"/>
        <charset val="204"/>
        <scheme val="minor"/>
      </rPr>
      <t>правом возвратности</t>
    </r>
  </si>
  <si>
    <r>
      <t xml:space="preserve">По условиям договора предмет аренды находится на </t>
    </r>
    <r>
      <rPr>
        <b/>
        <sz val="12"/>
        <rFont val="Calibri"/>
        <family val="2"/>
        <charset val="204"/>
        <scheme val="minor"/>
      </rPr>
      <t>налоговом учете у  арендатора</t>
    </r>
  </si>
  <si>
    <t xml:space="preserve">Дата подписания договора </t>
  </si>
  <si>
    <t>Сумма договора</t>
  </si>
  <si>
    <t>* без НДС, руб.</t>
  </si>
  <si>
    <t>* НДС, руб.</t>
  </si>
  <si>
    <t>Дата авансового платежа до начала аренды</t>
  </si>
  <si>
    <t>Сумма авансового платежа</t>
  </si>
  <si>
    <t>* с НДС, руб.</t>
  </si>
  <si>
    <t>Стоимость предмета аренды</t>
  </si>
  <si>
    <t xml:space="preserve">Пример </t>
  </si>
  <si>
    <t>2.1.</t>
  </si>
  <si>
    <t>2.2.</t>
  </si>
  <si>
    <t>2.2.1.</t>
  </si>
  <si>
    <t>2.2.2.</t>
  </si>
  <si>
    <t>2.2.3.</t>
  </si>
  <si>
    <t>2.3.</t>
  </si>
  <si>
    <t>2.4.</t>
  </si>
  <si>
    <t>2.4.1.</t>
  </si>
  <si>
    <t>2.4.2.</t>
  </si>
  <si>
    <t>2.4.3.</t>
  </si>
  <si>
    <t>2.5.</t>
  </si>
  <si>
    <t>2.5.1.</t>
  </si>
  <si>
    <t>2.5.2.</t>
  </si>
  <si>
    <t>2.5.3.</t>
  </si>
  <si>
    <t>2.6.</t>
  </si>
  <si>
    <t>2.7.</t>
  </si>
  <si>
    <t xml:space="preserve">4. </t>
  </si>
  <si>
    <t>График начислений для целей налогового учета</t>
  </si>
  <si>
    <t>Условия договора</t>
  </si>
  <si>
    <t xml:space="preserve">Примечание: В налоговом учете датой признания дохода является дата арендного платежа по графику либо последний день отчетного (налогового) периода (пп.3 п.4 ст. 271 НК РФ). </t>
  </si>
  <si>
    <t>Итого:</t>
  </si>
  <si>
    <t>Обязательство по аренде, на начало дня</t>
  </si>
  <si>
    <t>Расчет рабочих графиков по БУ и НУ</t>
  </si>
  <si>
    <t>IRR =</t>
  </si>
  <si>
    <t>% на дату=Сумма долга((1+ставка)^((Дата n-Дата n-1)/365)-1)</t>
  </si>
  <si>
    <t>Шаг 2</t>
  </si>
  <si>
    <t>IV — свыше 5 до 7 лет включительно;</t>
  </si>
  <si>
    <t>61 месяц</t>
  </si>
  <si>
    <t>Содержание операций по БУ</t>
  </si>
  <si>
    <t>Содержание операций по НУ</t>
  </si>
  <si>
    <t xml:space="preserve">5. </t>
  </si>
  <si>
    <t>Акт приема-передачи предмета аренды от лизингодателя лизингополучателю в финансовый лизинг</t>
  </si>
  <si>
    <t>Предмет лизинга</t>
  </si>
  <si>
    <r>
      <t xml:space="preserve">Предмет аренды: </t>
    </r>
    <r>
      <rPr>
        <b/>
        <sz val="11"/>
        <color theme="1"/>
        <rFont val="Calibri"/>
        <family val="2"/>
        <charset val="204"/>
        <scheme val="minor"/>
      </rPr>
      <t>автобус магистральный</t>
    </r>
    <r>
      <rPr>
        <i/>
        <sz val="11"/>
        <color theme="1"/>
        <rFont val="Calibri"/>
        <family val="2"/>
        <charset val="204"/>
        <scheme val="minor"/>
      </rPr>
      <t xml:space="preserve"> (IV амортизационная группа)</t>
    </r>
  </si>
  <si>
    <t>Автобус магистральный</t>
  </si>
  <si>
    <t>Идентификация предмета аренды</t>
  </si>
  <si>
    <t>*Стоимость предмета аренды без НДС, руб.</t>
  </si>
  <si>
    <t>Номер автобуса, номер двигателя,…. Отличительные технические характеристики</t>
  </si>
  <si>
    <t>* Примечание: Показатель не является обязательным. В нашем примере он присутствует</t>
  </si>
  <si>
    <t>Показатель</t>
  </si>
  <si>
    <t>Значение показателя</t>
  </si>
  <si>
    <t>Расчет справедливой стоимости на дату аначала аренды</t>
  </si>
  <si>
    <t xml:space="preserve">Показатель </t>
  </si>
  <si>
    <t>Справедливя стоимость без НДС, руб</t>
  </si>
  <si>
    <t>Авансовые платежи, оплаченные до и на дату начала аренды, руб.</t>
  </si>
  <si>
    <t>Справедливая стоимость на дату начла аренды</t>
  </si>
  <si>
    <t>Шаг 1  Оплата авансого  платежа</t>
  </si>
  <si>
    <t>Шаг 3  Проведение операций на дату начала аренды</t>
  </si>
  <si>
    <t>Журнал операций на дату начала аренды</t>
  </si>
  <si>
    <t>76 Затраты</t>
  </si>
  <si>
    <r>
      <t xml:space="preserve">Отражение первоначальной оценки обязательства по аренде </t>
    </r>
    <r>
      <rPr>
        <i/>
        <sz val="11"/>
        <color theme="1"/>
        <rFont val="Calibri"/>
        <family val="2"/>
        <charset val="204"/>
        <scheme val="minor"/>
      </rPr>
      <t>(ФСБУ25/2018 пункт 10, пункт 13а)</t>
    </r>
  </si>
  <si>
    <t>Признание ППА на дату начала аренды</t>
  </si>
  <si>
    <t xml:space="preserve">Примечание: </t>
  </si>
  <si>
    <r>
      <t xml:space="preserve">**Отнесение на ППА арендных платежей на дату начала аренды- авансы </t>
    </r>
    <r>
      <rPr>
        <i/>
        <sz val="11"/>
        <color theme="1"/>
        <rFont val="Calibri"/>
        <family val="2"/>
        <charset val="204"/>
        <scheme val="minor"/>
      </rPr>
      <t xml:space="preserve">(ФСБУ25/2018  пункт 13б) </t>
    </r>
  </si>
  <si>
    <r>
      <t>***Отнесение на ППА  будущих затрат арендатора по демонатжу, восстановлению окружающей среды,...</t>
    </r>
    <r>
      <rPr>
        <i/>
        <sz val="11"/>
        <color theme="1"/>
        <rFont val="Calibri"/>
        <family val="2"/>
        <charset val="204"/>
        <scheme val="minor"/>
      </rPr>
      <t xml:space="preserve">(ФСБУ25/2018  пункт 13г) </t>
    </r>
  </si>
  <si>
    <r>
      <t xml:space="preserve">** Квалификацию платежей, осуществленных до и на дату начала аренды, рекомендуется проводить с учетом положений </t>
    </r>
    <r>
      <rPr>
        <u/>
        <sz val="11"/>
        <color theme="1"/>
        <rFont val="Calibri"/>
        <family val="2"/>
        <charset val="204"/>
        <scheme val="minor"/>
      </rPr>
      <t>Рекомендации БМЦ  Р-134/2020-ОК Лизинг "Авансы по финансовой аренде"</t>
    </r>
  </si>
  <si>
    <t>***В нашем примере по условиям договора арендатор не осуществляет работы по демонтажу, восстановлению окружающей среды,…. По этой причине сумма по операции равна "0"</t>
  </si>
  <si>
    <t>Постановка на налоговый учет предмета аренды</t>
  </si>
  <si>
    <t>Н76Аванс</t>
  </si>
  <si>
    <t>Н51</t>
  </si>
  <si>
    <t xml:space="preserve">Признание ППА </t>
  </si>
  <si>
    <t>01 Аренда</t>
  </si>
  <si>
    <t>97 Аренда/Демонтаж</t>
  </si>
  <si>
    <t>Н08</t>
  </si>
  <si>
    <t>Н76 Аренда</t>
  </si>
  <si>
    <t>Н01Аренда</t>
  </si>
  <si>
    <t>Н97Аренда</t>
  </si>
  <si>
    <t>Н76Аренда</t>
  </si>
  <si>
    <r>
      <rPr>
        <sz val="8"/>
        <color theme="1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Затраты арендатора по доведению предмета аренды до состояния пригодного к использованию  </t>
    </r>
    <r>
      <rPr>
        <i/>
        <sz val="11"/>
        <color theme="1"/>
        <rFont val="Calibri"/>
        <family val="2"/>
        <charset val="204"/>
        <scheme val="minor"/>
      </rPr>
      <t xml:space="preserve">(ФСБУ25/2018  пункт 13в) </t>
    </r>
  </si>
  <si>
    <t>Рабочий график по налоговому учету</t>
  </si>
  <si>
    <t>Первоначальная стоимость предмета аренды</t>
  </si>
  <si>
    <t>Амортизационная группа</t>
  </si>
  <si>
    <t>IV</t>
  </si>
  <si>
    <t>свыше 5 лет до 7 лет включительно</t>
  </si>
  <si>
    <t>Срок полезного использования</t>
  </si>
  <si>
    <t>Принимаемый срок полезного  использования, мес.</t>
  </si>
  <si>
    <t>Применение коэффициента ускорения (НК РФ, статья 259.3, пункт 2)</t>
  </si>
  <si>
    <t>Срок полезного использования с учетом коэффициента ускорения, мес.</t>
  </si>
  <si>
    <t>Норма амортизации в месяц, руб.</t>
  </si>
  <si>
    <t xml:space="preserve">*Если предмет аренды передается арендатору до даты начала аренды и он осуществляет затраты  по доведению предмета аренды до состояния пригодного к использования, то этот вид затрат на счет 08  относится по мере их возникновения. В нашем примере такого рада работы арендатор не выполняет - сумма по операции  "0" </t>
  </si>
  <si>
    <t>Проведение операций в период аренды</t>
  </si>
  <si>
    <t>Амортизация (НК РФ, Статья 259.3. пункт 2)</t>
  </si>
  <si>
    <t>Начисление лизингового платежа в соответствии с Графиком платежей по договору</t>
  </si>
  <si>
    <t>Рабочий график по бухгалтерского учету</t>
  </si>
  <si>
    <t>76 Обязат</t>
  </si>
  <si>
    <t>Расчет амортизации предмета аренды по налоговому учету</t>
  </si>
  <si>
    <t>Расчет амортизации ППА по бухгалтерскому учету</t>
  </si>
  <si>
    <t>Стоимость ППА, руб.</t>
  </si>
  <si>
    <t>Амортизационные отчисления в месяц  при линейном методе амортизации, руб.</t>
  </si>
  <si>
    <t>Н20</t>
  </si>
  <si>
    <t>Н02Аренда</t>
  </si>
  <si>
    <t>Н60.01</t>
  </si>
  <si>
    <t>Н76НДС</t>
  </si>
  <si>
    <t>Поступила счет-фактура от арендодателя</t>
  </si>
  <si>
    <t>Н68.02</t>
  </si>
  <si>
    <t>68.02</t>
  </si>
  <si>
    <t>Начисления  в конце месяца</t>
  </si>
  <si>
    <t xml:space="preserve">Начисление амортизации </t>
  </si>
  <si>
    <t>Начисление лизингового платежа к оплате</t>
  </si>
  <si>
    <t>Начисление НДС на лизинговый платеж</t>
  </si>
  <si>
    <t>Дт</t>
  </si>
  <si>
    <t>Кт</t>
  </si>
  <si>
    <t>счет</t>
  </si>
  <si>
    <t>ИТОГО</t>
  </si>
  <si>
    <t>76Обязат.</t>
  </si>
  <si>
    <t>97Аренда</t>
  </si>
  <si>
    <t>Оборотно-сальдовая ведомость БУ</t>
  </si>
  <si>
    <t xml:space="preserve">Обороты и сальдо в НУ </t>
  </si>
  <si>
    <t>90.02</t>
  </si>
  <si>
    <t>Н90.02</t>
  </si>
  <si>
    <t>закрытие счета 20</t>
  </si>
  <si>
    <t>Закрытие чета 20</t>
  </si>
  <si>
    <t xml:space="preserve"> Выкуп предмета аренды 02.02.22</t>
  </si>
  <si>
    <t>01 Собств</t>
  </si>
  <si>
    <t>02 Аренда</t>
  </si>
  <si>
    <t>02 Собств.</t>
  </si>
  <si>
    <t>Принятие к учету ОС как собственного средства</t>
  </si>
  <si>
    <t>Объект основных средств переведен из арендованных в собственные01, субсчет «Собственные основные средства»01, субсчет «Имущество в лизинге»Отражена амортизация по лизинговому имуществу, перешедшему в собственность лизингополучателя</t>
  </si>
  <si>
    <t>Списание начисленной амортизации ОС</t>
  </si>
  <si>
    <t>Амортизация по ПБУ6/01</t>
  </si>
  <si>
    <t>Первоначальная</t>
  </si>
  <si>
    <t>Срок амортизации, мес.</t>
  </si>
  <si>
    <t>Норма амортизаци в месяц</t>
  </si>
  <si>
    <t>Остаточная стоимость ОС</t>
  </si>
  <si>
    <t>Начисленная амортиз.ОС</t>
  </si>
  <si>
    <t>Результат расчета приведенной стоимости показывает не сумму средств, которую инвестор получит в будущем, а объем финансов, необходимых для инвестирования.</t>
  </si>
  <si>
    <t>Источник: https://finzz.ru/privedennaya-stoimost-formula-primer-raschet.html</t>
  </si>
  <si>
    <t>сальдо на начало дня 03.08.21</t>
  </si>
  <si>
    <t>сальдо на конец дня 03.08.21</t>
  </si>
  <si>
    <t>сальдо на 03.08.21</t>
  </si>
  <si>
    <t>Сентябрь месяц 2021 г.</t>
  </si>
  <si>
    <t>Журнал операций в августе м-це 2021 г.</t>
  </si>
  <si>
    <t>сальдо на  31.08.21</t>
  </si>
  <si>
    <t>сальдо на 31.08.21</t>
  </si>
  <si>
    <t>сальдо на  30.09.21</t>
  </si>
  <si>
    <t>Оприходован ОС</t>
  </si>
  <si>
    <t>Закрытие счета 20</t>
  </si>
  <si>
    <t>сальдо на 31.10.22</t>
  </si>
  <si>
    <t>сальдо на  02.11.22</t>
  </si>
  <si>
    <t>Н01Собств</t>
  </si>
  <si>
    <t>Н01.09</t>
  </si>
  <si>
    <t>https://express-consalt.ru/blog/nalogi/vykup-lizingovogo-imushhestva-i-posledujushhaja-prodazha/</t>
  </si>
  <si>
    <t>Налог на прибыль</t>
  </si>
  <si>
    <t>Расходы в виде выкупной цены (без учета НДС) предмета лизинга формируют первоначальную стоимость амортизируемого основного средства и не учитываются в целях налогообложения прибыли (п. 1 ст. 256, п. 1 ст. 257, п. 5 ст. 270 НК РФ).</t>
  </si>
  <si>
    <t>В Вашем случае выкупная стоимость равно 1 рублю, а значит, имущество учитывается в составе МПЗ.</t>
  </si>
  <si>
    <t>https://glavkniga.ru/elver/2018/9/3522-uchet_lizingopoluchatelja_voprosakh_otvetakh.html</t>
  </si>
  <si>
    <r>
      <t xml:space="preserve">В налоговом учете не должна иметь значения величина остаточной стоимости лизингового имущества, числящаяся в налоговом учете на дату его выкупа. </t>
    </r>
    <r>
      <rPr>
        <b/>
        <sz val="14"/>
        <color rgb="FF000000"/>
        <rFont val="Times New Roman"/>
        <family val="1"/>
        <charset val="204"/>
      </rPr>
      <t>О ней надо просто забыть</t>
    </r>
    <r>
      <rPr>
        <sz val="14"/>
        <color rgb="FF000000"/>
        <rFont val="Times New Roman"/>
        <family val="1"/>
        <charset val="204"/>
      </rPr>
      <t>. Но это не означает, что вы потеряете какие-то свои затраты для целей налогообложения. Ведь в период действия лизингового договора в налоговых расходах ежемесячно учитываются:</t>
    </r>
  </si>
  <si>
    <t>•амортизация такого предмета лизинга;</t>
  </si>
  <si>
    <t>•часть лизингового платежа, превышающая сумму начисленной амортизации.</t>
  </si>
  <si>
    <t>Так что все, что вы заплатили лизингодателю в качестве текущих платежей (за исключением сумм, относящихся к выкупной стоимости), вы уже признали в расходах.</t>
  </si>
  <si>
    <t>Таблица №8</t>
  </si>
  <si>
    <t>Признание расходов нарастающим итогом</t>
  </si>
  <si>
    <t>Закрытие аренды</t>
  </si>
  <si>
    <t>Списание первоначальной стоимости ОС</t>
  </si>
  <si>
    <t xml:space="preserve">Остаточная стоимость предмета аренды </t>
  </si>
  <si>
    <t>Арендный платеж минус Амортизация  (НК РФ Статья 264, пункт10)</t>
  </si>
  <si>
    <t xml:space="preserve">Выделение НДС по авансовому платежу </t>
  </si>
  <si>
    <t>Формирование расходов будущих периодов на величину арендного платежа, превышающего начисляемую амортизацию по договору</t>
  </si>
  <si>
    <t>Начисление разницы между ЛП и амортизацией</t>
  </si>
  <si>
    <t>Списание недоамортизированной суммы ПЛ</t>
  </si>
  <si>
    <t>Получение предмета лизинга в собственность/начислен выкупной платеж к оплате</t>
  </si>
  <si>
    <t>Начислен НДС к оплате</t>
  </si>
  <si>
    <t>Оборотно-сальдовая ведомость БУ+Y175:Z176</t>
  </si>
  <si>
    <t>Возникают временные разницы, которые необходимо учитывать в соответствии с ПБУ 18/02 "Учет расчетов по налогу на прибыль организаций" (утв. приказом Минфина России от 19.11.2002 № 114н).</t>
  </si>
  <si>
    <t>Выкуп предмета лизинга</t>
  </si>
  <si>
    <t>Н76НДС(19)</t>
  </si>
  <si>
    <t>02 Собств</t>
  </si>
  <si>
    <t>Н01</t>
  </si>
  <si>
    <t>Н02Собств</t>
  </si>
  <si>
    <t>Н76НДС (19)</t>
  </si>
  <si>
    <t xml:space="preserve">Н60.01 </t>
  </si>
  <si>
    <t>Таьоица №13</t>
  </si>
  <si>
    <t>Таблица №14</t>
  </si>
  <si>
    <t>Таблица №15</t>
  </si>
  <si>
    <t>Таблица №16</t>
  </si>
  <si>
    <t>76НДС(19)</t>
  </si>
  <si>
    <t>Н60.02</t>
  </si>
  <si>
    <t>60.02</t>
  </si>
  <si>
    <t>Таблица №17</t>
  </si>
  <si>
    <t>Таблица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</si>
</sst>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dd/mm/yy;@"/>
    <numFmt numFmtId="165" formatCode="#,##0.000000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0"/>
      <color rgb="FF0070C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rgb="FF0070C0"/>
      <name val="Arial Cyr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7"/>
      <color rgb="FF00B050"/>
      <name val="Arial"/>
      <family val="2"/>
      <charset val="204"/>
    </font>
    <font>
      <b/>
      <sz val="13.5"/>
      <color rgb="FF7030A0"/>
      <name val="Times New Roman"/>
      <family val="1"/>
      <charset val="204"/>
    </font>
    <font>
      <sz val="13.5"/>
      <color rgb="FF7030A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7" fillId="0" borderId="0"/>
    <xf numFmtId="43" fontId="27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Font="1" applyAlignment="1">
      <alignment horizontal="left" vertical="top" wrapText="1"/>
    </xf>
    <xf numFmtId="0" fontId="17" fillId="0" borderId="5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49" fontId="20" fillId="0" borderId="0" xfId="0" applyNumberFormat="1" applyFont="1" applyAlignment="1">
      <alignment wrapText="1"/>
    </xf>
    <xf numFmtId="3" fontId="0" fillId="0" borderId="0" xfId="0" applyNumberFormat="1"/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0" fontId="15" fillId="0" borderId="1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30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3" fontId="11" fillId="0" borderId="1" xfId="0" applyNumberFormat="1" applyFont="1" applyFill="1" applyBorder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33" fillId="5" borderId="0" xfId="0" applyFont="1" applyFill="1" applyAlignment="1">
      <alignment vertical="top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3" fontId="0" fillId="3" borderId="1" xfId="0" applyNumberFormat="1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1" fillId="4" borderId="1" xfId="0" applyNumberFormat="1" applyFont="1" applyFill="1" applyBorder="1" applyAlignment="1">
      <alignment vertical="top"/>
    </xf>
    <xf numFmtId="3" fontId="1" fillId="4" borderId="1" xfId="0" applyNumberFormat="1" applyFont="1" applyFill="1" applyBorder="1" applyAlignment="1">
      <alignment vertical="top"/>
    </xf>
    <xf numFmtId="164" fontId="1" fillId="7" borderId="1" xfId="0" applyNumberFormat="1" applyFont="1" applyFill="1" applyBorder="1" applyAlignment="1">
      <alignment vertical="top"/>
    </xf>
    <xf numFmtId="3" fontId="1" fillId="7" borderId="1" xfId="0" applyNumberFormat="1" applyFont="1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20" fillId="5" borderId="0" xfId="0" applyFont="1" applyFill="1" applyAlignment="1">
      <alignment vertical="top" wrapText="1"/>
    </xf>
    <xf numFmtId="0" fontId="20" fillId="5" borderId="0" xfId="0" applyFont="1" applyFill="1" applyAlignment="1">
      <alignment vertical="top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horizontal="left" vertical="top" wrapText="1"/>
    </xf>
    <xf numFmtId="49" fontId="25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6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49" fontId="0" fillId="3" borderId="1" xfId="0" applyNumberFormat="1" applyFill="1" applyBorder="1" applyAlignment="1">
      <alignment horizontal="left" vertical="top"/>
    </xf>
    <xf numFmtId="3" fontId="0" fillId="3" borderId="1" xfId="0" applyNumberForma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31" fillId="7" borderId="0" xfId="0" applyFont="1" applyFill="1" applyAlignment="1">
      <alignment horizontal="left" vertical="top"/>
    </xf>
    <xf numFmtId="0" fontId="31" fillId="7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3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3" fontId="4" fillId="0" borderId="0" xfId="0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0" fillId="3" borderId="1" xfId="0" applyNumberFormat="1" applyFill="1" applyBorder="1" applyAlignment="1">
      <alignment horizontal="center" vertical="top"/>
    </xf>
    <xf numFmtId="0" fontId="0" fillId="6" borderId="11" xfId="0" applyFill="1" applyBorder="1" applyAlignment="1">
      <alignment vertical="top"/>
    </xf>
    <xf numFmtId="10" fontId="0" fillId="6" borderId="11" xfId="0" applyNumberFormat="1" applyFill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4" fillId="3" borderId="3" xfId="0" applyNumberFormat="1" applyFont="1" applyFill="1" applyBorder="1" applyAlignment="1">
      <alignment vertical="top" wrapText="1"/>
    </xf>
    <xf numFmtId="3" fontId="24" fillId="0" borderId="4" xfId="0" applyNumberFormat="1" applyFont="1" applyBorder="1" applyAlignment="1">
      <alignment vertical="top" wrapText="1"/>
    </xf>
    <xf numFmtId="3" fontId="0" fillId="0" borderId="6" xfId="0" applyNumberFormat="1" applyBorder="1" applyAlignment="1">
      <alignment horizontal="center" vertical="top"/>
    </xf>
    <xf numFmtId="0" fontId="2" fillId="0" borderId="5" xfId="0" applyNumberFormat="1" applyFont="1" applyBorder="1" applyAlignment="1">
      <alignment vertical="top" wrapText="1"/>
    </xf>
    <xf numFmtId="3" fontId="0" fillId="0" borderId="6" xfId="0" applyNumberFormat="1" applyBorder="1" applyAlignment="1">
      <alignment vertical="top"/>
    </xf>
    <xf numFmtId="0" fontId="1" fillId="4" borderId="5" xfId="0" applyNumberFormat="1" applyFont="1" applyFill="1" applyBorder="1" applyAlignment="1">
      <alignment vertical="top" wrapText="1"/>
    </xf>
    <xf numFmtId="0" fontId="1" fillId="7" borderId="5" xfId="0" applyNumberFormat="1" applyFont="1" applyFill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164" fontId="0" fillId="0" borderId="8" xfId="0" applyNumberFormat="1" applyBorder="1" applyAlignment="1">
      <alignment vertical="top"/>
    </xf>
    <xf numFmtId="3" fontId="0" fillId="0" borderId="8" xfId="0" applyNumberFormat="1" applyBorder="1" applyAlignment="1">
      <alignment vertical="top"/>
    </xf>
    <xf numFmtId="3" fontId="0" fillId="3" borderId="8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0" fontId="31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5" fillId="0" borderId="1" xfId="0" applyFont="1" applyBorder="1" applyAlignment="1">
      <alignment wrapText="1"/>
    </xf>
    <xf numFmtId="164" fontId="16" fillId="0" borderId="1" xfId="0" applyNumberFormat="1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164" fontId="37" fillId="0" borderId="1" xfId="0" applyNumberFormat="1" applyFont="1" applyFill="1" applyBorder="1" applyAlignment="1">
      <alignment vertical="top" wrapText="1"/>
    </xf>
    <xf numFmtId="3" fontId="37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Border="1" applyAlignment="1">
      <alignment vertical="top"/>
    </xf>
    <xf numFmtId="0" fontId="36" fillId="0" borderId="1" xfId="0" applyFont="1" applyBorder="1" applyAlignment="1">
      <alignment vertical="top" wrapText="1"/>
    </xf>
    <xf numFmtId="49" fontId="2" fillId="3" borderId="1" xfId="0" applyNumberFormat="1" applyFont="1" applyFill="1" applyBorder="1" applyAlignment="1">
      <alignment wrapText="1"/>
    </xf>
    <xf numFmtId="164" fontId="0" fillId="0" borderId="1" xfId="0" applyNumberFormat="1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vertical="top"/>
    </xf>
    <xf numFmtId="49" fontId="0" fillId="3" borderId="1" xfId="0" applyNumberFormat="1" applyFont="1" applyFill="1" applyBorder="1" applyAlignment="1">
      <alignment horizontal="left" vertical="top"/>
    </xf>
    <xf numFmtId="3" fontId="0" fillId="3" borderId="1" xfId="0" applyNumberFormat="1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164" fontId="0" fillId="0" borderId="0" xfId="0" applyNumberFormat="1" applyFont="1" applyAlignment="1">
      <alignment vertical="top" wrapText="1"/>
    </xf>
    <xf numFmtId="0" fontId="38" fillId="0" borderId="0" xfId="0" applyFont="1"/>
    <xf numFmtId="3" fontId="19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6" borderId="0" xfId="0" applyFont="1" applyFill="1" applyAlignment="1">
      <alignment horizontal="left" vertical="top"/>
    </xf>
    <xf numFmtId="0" fontId="0" fillId="6" borderId="0" xfId="0" applyFont="1" applyFill="1" applyAlignment="1">
      <alignment vertical="top"/>
    </xf>
    <xf numFmtId="17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/>
    <xf numFmtId="49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/>
    <xf numFmtId="0" fontId="1" fillId="0" borderId="0" xfId="0" applyFont="1" applyFill="1"/>
    <xf numFmtId="17" fontId="1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0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3" fontId="0" fillId="3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left" vertical="top"/>
    </xf>
    <xf numFmtId="3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vertical="top" wrapText="1"/>
    </xf>
    <xf numFmtId="0" fontId="42" fillId="0" borderId="0" xfId="3"/>
    <xf numFmtId="0" fontId="0" fillId="0" borderId="1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top" wrapText="1"/>
    </xf>
    <xf numFmtId="3" fontId="0" fillId="3" borderId="1" xfId="0" applyNumberFormat="1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21" fillId="3" borderId="1" xfId="0" applyNumberFormat="1" applyFont="1" applyFill="1" applyBorder="1" applyAlignment="1">
      <alignment vertical="top"/>
    </xf>
    <xf numFmtId="3" fontId="21" fillId="3" borderId="1" xfId="0" applyNumberFormat="1" applyFont="1" applyFill="1" applyBorder="1" applyAlignment="1">
      <alignment vertical="top"/>
    </xf>
    <xf numFmtId="0" fontId="21" fillId="3" borderId="1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left" vertical="top" wrapText="1"/>
    </xf>
    <xf numFmtId="14" fontId="6" fillId="6" borderId="1" xfId="0" applyNumberFormat="1" applyFon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/>
    </xf>
    <xf numFmtId="3" fontId="19" fillId="0" borderId="1" xfId="0" applyNumberFormat="1" applyFont="1" applyFill="1" applyBorder="1" applyAlignment="1">
      <alignment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3" fontId="0" fillId="7" borderId="1" xfId="0" applyNumberFormat="1" applyFont="1" applyFill="1" applyBorder="1" applyAlignment="1">
      <alignment horizontal="left" vertical="top"/>
    </xf>
    <xf numFmtId="4" fontId="44" fillId="0" borderId="0" xfId="0" applyNumberFormat="1" applyFont="1"/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2" fillId="5" borderId="0" xfId="0" applyFont="1" applyFill="1" applyAlignment="1">
      <alignment vertical="top" wrapText="1"/>
    </xf>
    <xf numFmtId="0" fontId="18" fillId="8" borderId="5" xfId="0" applyFont="1" applyFill="1" applyBorder="1" applyAlignment="1">
      <alignment vertical="top" wrapText="1"/>
    </xf>
    <xf numFmtId="164" fontId="19" fillId="8" borderId="1" xfId="0" applyNumberFormat="1" applyFont="1" applyFill="1" applyBorder="1" applyAlignment="1">
      <alignment vertical="top" wrapText="1"/>
    </xf>
    <xf numFmtId="3" fontId="19" fillId="8" borderId="1" xfId="0" applyNumberFormat="1" applyFont="1" applyFill="1" applyBorder="1" applyAlignment="1">
      <alignment vertical="top" wrapText="1"/>
    </xf>
    <xf numFmtId="3" fontId="18" fillId="8" borderId="1" xfId="0" applyNumberFormat="1" applyFont="1" applyFill="1" applyBorder="1" applyAlignment="1">
      <alignment vertical="top"/>
    </xf>
    <xf numFmtId="3" fontId="18" fillId="8" borderId="6" xfId="0" applyNumberFormat="1" applyFont="1" applyFill="1" applyBorder="1" applyAlignment="1">
      <alignment vertical="top"/>
    </xf>
    <xf numFmtId="164" fontId="18" fillId="8" borderId="1" xfId="0" applyNumberFormat="1" applyFont="1" applyFill="1" applyBorder="1" applyAlignment="1">
      <alignment vertical="top" wrapText="1"/>
    </xf>
    <xf numFmtId="3" fontId="18" fillId="8" borderId="1" xfId="0" applyNumberFormat="1" applyFont="1" applyFill="1" applyBorder="1" applyAlignment="1">
      <alignment vertical="top" wrapText="1"/>
    </xf>
    <xf numFmtId="0" fontId="0" fillId="8" borderId="7" xfId="0" applyFont="1" applyFill="1" applyBorder="1" applyAlignment="1">
      <alignment vertical="top" wrapText="1"/>
    </xf>
    <xf numFmtId="3" fontId="18" fillId="8" borderId="8" xfId="0" applyNumberFormat="1" applyFont="1" applyFill="1" applyBorder="1" applyAlignment="1">
      <alignment vertical="top" wrapText="1"/>
    </xf>
    <xf numFmtId="3" fontId="18" fillId="8" borderId="8" xfId="0" applyNumberFormat="1" applyFont="1" applyFill="1" applyBorder="1" applyAlignment="1">
      <alignment vertical="top"/>
    </xf>
    <xf numFmtId="3" fontId="18" fillId="8" borderId="9" xfId="0" applyNumberFormat="1" applyFont="1" applyFill="1" applyBorder="1" applyAlignment="1">
      <alignment vertical="top"/>
    </xf>
    <xf numFmtId="164" fontId="0" fillId="8" borderId="1" xfId="0" applyNumberFormat="1" applyFont="1" applyFill="1" applyBorder="1" applyAlignment="1">
      <alignment vertical="top"/>
    </xf>
    <xf numFmtId="3" fontId="0" fillId="8" borderId="1" xfId="0" applyNumberFormat="1" applyFont="1" applyFill="1" applyBorder="1" applyAlignment="1">
      <alignment vertical="top"/>
    </xf>
    <xf numFmtId="164" fontId="0" fillId="8" borderId="1" xfId="0" applyNumberFormat="1" applyFill="1" applyBorder="1" applyAlignment="1">
      <alignment vertical="top"/>
    </xf>
    <xf numFmtId="3" fontId="0" fillId="8" borderId="1" xfId="0" applyNumberFormat="1" applyFill="1" applyBorder="1" applyAlignment="1">
      <alignment vertical="top"/>
    </xf>
    <xf numFmtId="0" fontId="0" fillId="7" borderId="14" xfId="0" applyFont="1" applyFill="1" applyBorder="1" applyAlignment="1">
      <alignment vertical="top" wrapText="1"/>
    </xf>
    <xf numFmtId="0" fontId="0" fillId="7" borderId="14" xfId="0" applyFont="1" applyFill="1" applyBorder="1" applyAlignment="1">
      <alignment vertical="top"/>
    </xf>
    <xf numFmtId="3" fontId="0" fillId="7" borderId="14" xfId="0" applyNumberFormat="1" applyFont="1" applyFill="1" applyBorder="1" applyAlignment="1">
      <alignment vertical="top"/>
    </xf>
    <xf numFmtId="3" fontId="0" fillId="8" borderId="6" xfId="0" applyNumberFormat="1" applyFill="1" applyBorder="1" applyAlignment="1">
      <alignment vertical="top"/>
    </xf>
    <xf numFmtId="0" fontId="36" fillId="0" borderId="1" xfId="0" applyFont="1" applyBorder="1" applyAlignment="1">
      <alignment vertical="top"/>
    </xf>
    <xf numFmtId="3" fontId="36" fillId="0" borderId="1" xfId="0" applyNumberFormat="1" applyFont="1" applyBorder="1" applyAlignment="1">
      <alignment vertical="top"/>
    </xf>
    <xf numFmtId="3" fontId="2" fillId="3" borderId="1" xfId="0" applyNumberFormat="1" applyFont="1" applyFill="1" applyBorder="1" applyAlignment="1">
      <alignment vertical="top"/>
    </xf>
    <xf numFmtId="164" fontId="0" fillId="0" borderId="1" xfId="0" applyNumberForma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horizontal="justify" vertical="center" wrapText="1"/>
    </xf>
    <xf numFmtId="0" fontId="48" fillId="0" borderId="18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3" fontId="5" fillId="7" borderId="14" xfId="0" applyNumberFormat="1" applyFont="1" applyFill="1" applyBorder="1" applyAlignment="1">
      <alignment vertical="top"/>
    </xf>
    <xf numFmtId="3" fontId="5" fillId="7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right" vertical="top"/>
    </xf>
    <xf numFmtId="3" fontId="9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9" fillId="3" borderId="1" xfId="0" applyFont="1" applyFill="1" applyBorder="1" applyAlignment="1">
      <alignment vertical="top"/>
    </xf>
    <xf numFmtId="49" fontId="29" fillId="3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41" fillId="0" borderId="1" xfId="0" applyFont="1" applyBorder="1" applyAlignment="1">
      <alignment vertical="top" wrapText="1"/>
    </xf>
    <xf numFmtId="49" fontId="40" fillId="0" borderId="1" xfId="0" applyNumberFormat="1" applyFont="1" applyFill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40" fillId="0" borderId="1" xfId="0" applyFont="1" applyBorder="1" applyAlignment="1">
      <alignment vertical="top"/>
    </xf>
    <xf numFmtId="0" fontId="51" fillId="0" borderId="0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51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right" vertical="center"/>
    </xf>
    <xf numFmtId="164" fontId="0" fillId="7" borderId="0" xfId="0" applyNumberFormat="1" applyFont="1" applyFill="1" applyAlignment="1">
      <alignment vertical="top" wrapText="1"/>
    </xf>
    <xf numFmtId="3" fontId="0" fillId="7" borderId="0" xfId="0" applyNumberFormat="1" applyFont="1" applyFill="1" applyAlignment="1">
      <alignment vertical="top"/>
    </xf>
    <xf numFmtId="0" fontId="4" fillId="7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3" fontId="25" fillId="0" borderId="1" xfId="0" applyNumberFormat="1" applyFont="1" applyFill="1" applyBorder="1" applyAlignment="1">
      <alignment vertical="top" wrapText="1"/>
    </xf>
    <xf numFmtId="3" fontId="29" fillId="3" borderId="1" xfId="0" applyNumberFormat="1" applyFont="1" applyFill="1" applyBorder="1" applyAlignment="1">
      <alignment vertical="top" wrapText="1"/>
    </xf>
    <xf numFmtId="0" fontId="29" fillId="3" borderId="1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49" fontId="40" fillId="3" borderId="1" xfId="0" applyNumberFormat="1" applyFont="1" applyFill="1" applyBorder="1" applyAlignment="1">
      <alignment vertical="top" wrapText="1"/>
    </xf>
    <xf numFmtId="0" fontId="5" fillId="3" borderId="0" xfId="0" applyFont="1" applyFill="1" applyAlignment="1">
      <alignment vertical="top"/>
    </xf>
    <xf numFmtId="0" fontId="15" fillId="0" borderId="0" xfId="0" applyFont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top" wrapText="1"/>
    </xf>
    <xf numFmtId="3" fontId="0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 vertical="top" wrapText="1"/>
    </xf>
    <xf numFmtId="0" fontId="31" fillId="7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0" fillId="0" borderId="0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5" fontId="22" fillId="3" borderId="16" xfId="0" applyNumberFormat="1" applyFont="1" applyFill="1" applyBorder="1" applyAlignment="1">
      <alignment vertical="top" wrapText="1"/>
    </xf>
    <xf numFmtId="165" fontId="22" fillId="3" borderId="0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20" fillId="0" borderId="15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9" fillId="3" borderId="10" xfId="0" applyFont="1" applyFill="1" applyBorder="1" applyAlignment="1">
      <alignment vertical="top"/>
    </xf>
    <xf numFmtId="0" fontId="29" fillId="3" borderId="13" xfId="0" applyFont="1" applyFill="1" applyBorder="1" applyAlignment="1">
      <alignment vertical="top"/>
    </xf>
    <xf numFmtId="0" fontId="29" fillId="3" borderId="14" xfId="0" applyFont="1" applyFill="1" applyBorder="1" applyAlignment="1">
      <alignment vertical="top"/>
    </xf>
    <xf numFmtId="49" fontId="2" fillId="3" borderId="1" xfId="0" applyNumberFormat="1" applyFont="1" applyFill="1" applyBorder="1" applyAlignment="1">
      <alignment horizontal="center" wrapText="1"/>
    </xf>
    <xf numFmtId="0" fontId="32" fillId="5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s.1c.ru/db/garant/content/12029425/hdoc/1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3"/>
  <sheetViews>
    <sheetView workbookViewId="0">
      <selection activeCell="D4" sqref="D4"/>
    </sheetView>
  </sheetViews>
  <sheetFormatPr defaultRowHeight="15" x14ac:dyDescent="0.25"/>
  <cols>
    <col min="2" max="2" width="74.42578125" customWidth="1"/>
  </cols>
  <sheetData>
    <row r="1" spans="2:2" ht="15.75" thickBot="1" x14ac:dyDescent="0.3"/>
    <row r="2" spans="2:2" ht="34.5" x14ac:dyDescent="0.25">
      <c r="B2" s="223" t="s">
        <v>207</v>
      </c>
    </row>
    <row r="3" spans="2:2" ht="17.25" x14ac:dyDescent="0.25">
      <c r="B3" s="224" t="s">
        <v>208</v>
      </c>
    </row>
    <row r="4" spans="2:2" ht="86.25" x14ac:dyDescent="0.25">
      <c r="B4" s="225" t="s">
        <v>209</v>
      </c>
    </row>
    <row r="5" spans="2:2" ht="34.5" x14ac:dyDescent="0.25">
      <c r="B5" s="225" t="s">
        <v>210</v>
      </c>
    </row>
    <row r="6" spans="2:2" ht="15.75" thickBot="1" x14ac:dyDescent="0.3">
      <c r="B6" s="226"/>
    </row>
    <row r="7" spans="2:2" x14ac:dyDescent="0.25">
      <c r="B7" s="227" t="s">
        <v>211</v>
      </c>
    </row>
    <row r="8" spans="2:2" x14ac:dyDescent="0.25">
      <c r="B8" s="228"/>
    </row>
    <row r="9" spans="2:2" ht="131.25" x14ac:dyDescent="0.25">
      <c r="B9" s="229" t="s">
        <v>212</v>
      </c>
    </row>
    <row r="10" spans="2:2" ht="18.75" x14ac:dyDescent="0.25">
      <c r="B10" s="229" t="s">
        <v>213</v>
      </c>
    </row>
    <row r="11" spans="2:2" ht="37.5" x14ac:dyDescent="0.25">
      <c r="B11" s="229" t="s">
        <v>214</v>
      </c>
    </row>
    <row r="12" spans="2:2" ht="56.25" x14ac:dyDescent="0.25">
      <c r="B12" s="229" t="s">
        <v>215</v>
      </c>
    </row>
    <row r="13" spans="2:2" ht="15.75" thickBot="1" x14ac:dyDescent="0.3">
      <c r="B13" s="2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9"/>
  <sheetViews>
    <sheetView tabSelected="1" topLeftCell="A187" zoomScale="75" zoomScaleNormal="75" workbookViewId="0">
      <selection activeCell="G83" sqref="G83"/>
    </sheetView>
  </sheetViews>
  <sheetFormatPr defaultColWidth="8.7109375" defaultRowHeight="15" x14ac:dyDescent="0.25"/>
  <cols>
    <col min="1" max="1" width="12.28515625" style="15" customWidth="1"/>
    <col min="2" max="2" width="27.85546875" style="17" customWidth="1"/>
    <col min="3" max="3" width="44.42578125" style="17" customWidth="1"/>
    <col min="4" max="4" width="13.42578125" style="15" customWidth="1"/>
    <col min="5" max="5" width="11" style="15" customWidth="1"/>
    <col min="6" max="6" width="12" style="15" customWidth="1"/>
    <col min="7" max="7" width="11.140625" style="15" customWidth="1"/>
    <col min="8" max="8" width="11.42578125" style="15" customWidth="1"/>
    <col min="9" max="9" width="14.7109375" style="15" customWidth="1"/>
    <col min="10" max="10" width="17.28515625" style="15" customWidth="1"/>
    <col min="11" max="11" width="12.85546875" style="15" customWidth="1"/>
    <col min="12" max="12" width="10.85546875" style="15" customWidth="1"/>
    <col min="13" max="13" width="15.42578125" style="15" customWidth="1"/>
    <col min="14" max="14" width="11.5703125" style="15" customWidth="1"/>
    <col min="15" max="15" width="12.42578125" style="15" customWidth="1"/>
    <col min="16" max="16" width="10.85546875" style="15" customWidth="1"/>
    <col min="17" max="17" width="11.5703125" style="15" customWidth="1"/>
    <col min="18" max="18" width="11" style="15" customWidth="1"/>
    <col min="19" max="19" width="12.42578125" style="15" customWidth="1"/>
    <col min="20" max="20" width="11.85546875" style="15" customWidth="1"/>
    <col min="21" max="21" width="12.5703125" style="15" customWidth="1"/>
    <col min="22" max="22" width="17.140625" style="15" customWidth="1"/>
    <col min="23" max="27" width="8.7109375" style="15"/>
    <col min="28" max="28" width="12.140625" style="15" customWidth="1"/>
    <col min="29" max="16384" width="8.7109375" style="15"/>
  </cols>
  <sheetData>
    <row r="1" spans="1:10" ht="21" x14ac:dyDescent="0.25">
      <c r="B1" s="16" t="s">
        <v>65</v>
      </c>
    </row>
    <row r="2" spans="1:10" ht="15.75" x14ac:dyDescent="0.25">
      <c r="A2" s="18" t="s">
        <v>25</v>
      </c>
      <c r="B2" s="19" t="s">
        <v>84</v>
      </c>
      <c r="E2" s="17"/>
      <c r="F2" s="17"/>
    </row>
    <row r="3" spans="1:10" ht="15.75" x14ac:dyDescent="0.25">
      <c r="A3" s="20" t="s">
        <v>0</v>
      </c>
      <c r="B3" s="21" t="s">
        <v>10</v>
      </c>
      <c r="E3" s="17"/>
      <c r="F3" s="17"/>
    </row>
    <row r="4" spans="1:10" ht="45" x14ac:dyDescent="0.25">
      <c r="A4" s="10" t="s">
        <v>1</v>
      </c>
      <c r="B4" s="22" t="s">
        <v>99</v>
      </c>
      <c r="D4" s="23" t="s">
        <v>92</v>
      </c>
      <c r="E4" s="17"/>
      <c r="F4" s="17"/>
      <c r="I4" s="15" t="s">
        <v>93</v>
      </c>
      <c r="J4" s="15">
        <f>61/3</f>
        <v>20.333333333333332</v>
      </c>
    </row>
    <row r="5" spans="1:10" ht="75" x14ac:dyDescent="0.25">
      <c r="A5" s="10" t="s">
        <v>2</v>
      </c>
      <c r="B5" s="22" t="s">
        <v>53</v>
      </c>
      <c r="E5" s="17"/>
      <c r="F5" s="17"/>
    </row>
    <row r="6" spans="1:10" ht="78.75" x14ac:dyDescent="0.25">
      <c r="A6" s="10" t="s">
        <v>3</v>
      </c>
      <c r="B6" s="11" t="s">
        <v>54</v>
      </c>
      <c r="E6" s="17"/>
      <c r="F6" s="17"/>
    </row>
    <row r="7" spans="1:10" ht="78.75" x14ac:dyDescent="0.25">
      <c r="A7" s="10" t="s">
        <v>5</v>
      </c>
      <c r="B7" s="11" t="s">
        <v>55</v>
      </c>
      <c r="C7" s="24"/>
      <c r="D7" s="25"/>
      <c r="E7" s="17"/>
      <c r="F7" s="17"/>
    </row>
    <row r="8" spans="1:10" ht="48" customHeight="1" x14ac:dyDescent="0.25">
      <c r="A8" s="10" t="s">
        <v>6</v>
      </c>
      <c r="B8" s="11" t="s">
        <v>56</v>
      </c>
      <c r="C8" s="24"/>
      <c r="D8" s="25"/>
      <c r="E8" s="17"/>
      <c r="F8" s="17"/>
    </row>
    <row r="9" spans="1:10" ht="78.75" x14ac:dyDescent="0.25">
      <c r="A9" s="10" t="s">
        <v>7</v>
      </c>
      <c r="B9" s="11" t="s">
        <v>4</v>
      </c>
      <c r="C9" s="24"/>
      <c r="D9" s="25"/>
      <c r="E9" s="17"/>
      <c r="F9" s="17"/>
    </row>
    <row r="10" spans="1:10" ht="15.75" x14ac:dyDescent="0.25">
      <c r="B10" s="19"/>
      <c r="E10" s="17"/>
      <c r="F10" s="17"/>
    </row>
    <row r="11" spans="1:10" ht="15.75" x14ac:dyDescent="0.25">
      <c r="A11" s="26" t="s">
        <v>8</v>
      </c>
      <c r="B11" s="19" t="s">
        <v>9</v>
      </c>
      <c r="C11" s="27"/>
      <c r="E11" s="17"/>
      <c r="F11" s="17"/>
    </row>
    <row r="12" spans="1:10" ht="15.75" x14ac:dyDescent="0.25">
      <c r="A12" s="20" t="s">
        <v>0</v>
      </c>
      <c r="B12" s="28" t="s">
        <v>10</v>
      </c>
      <c r="C12" s="28" t="s">
        <v>11</v>
      </c>
      <c r="E12" s="17"/>
      <c r="F12" s="17"/>
    </row>
    <row r="13" spans="1:10" ht="31.5" x14ac:dyDescent="0.25">
      <c r="A13" s="29" t="s">
        <v>66</v>
      </c>
      <c r="B13" s="14" t="s">
        <v>57</v>
      </c>
      <c r="C13" s="184">
        <v>44326</v>
      </c>
      <c r="E13" s="17"/>
      <c r="F13" s="17"/>
    </row>
    <row r="14" spans="1:10" ht="15.75" x14ac:dyDescent="0.25">
      <c r="A14" s="29" t="s">
        <v>67</v>
      </c>
      <c r="B14" s="28" t="s">
        <v>58</v>
      </c>
      <c r="C14" s="12"/>
      <c r="E14" s="17"/>
      <c r="F14" s="17"/>
    </row>
    <row r="15" spans="1:10" ht="15.75" x14ac:dyDescent="0.25">
      <c r="A15" s="29" t="s">
        <v>68</v>
      </c>
      <c r="B15" s="14" t="s">
        <v>59</v>
      </c>
      <c r="C15" s="30">
        <f>F34</f>
        <v>25170000</v>
      </c>
      <c r="D15" s="31"/>
      <c r="E15" s="17"/>
      <c r="F15" s="17"/>
    </row>
    <row r="16" spans="1:10" ht="15.75" x14ac:dyDescent="0.25">
      <c r="A16" s="29" t="s">
        <v>69</v>
      </c>
      <c r="B16" s="14" t="s">
        <v>60</v>
      </c>
      <c r="C16" s="13">
        <f>E34</f>
        <v>5034000</v>
      </c>
      <c r="D16" s="31"/>
      <c r="E16" s="17"/>
      <c r="F16" s="17"/>
    </row>
    <row r="17" spans="1:13" ht="15.75" x14ac:dyDescent="0.25">
      <c r="A17" s="29" t="s">
        <v>70</v>
      </c>
      <c r="B17" s="14" t="s">
        <v>63</v>
      </c>
      <c r="C17" s="13">
        <f>D34</f>
        <v>30204000</v>
      </c>
      <c r="D17" s="31"/>
      <c r="E17" s="17"/>
      <c r="F17" s="17"/>
    </row>
    <row r="18" spans="1:13" ht="31.5" x14ac:dyDescent="0.25">
      <c r="A18" s="29" t="s">
        <v>71</v>
      </c>
      <c r="B18" s="14" t="s">
        <v>61</v>
      </c>
      <c r="C18" s="184">
        <v>44328</v>
      </c>
      <c r="E18" s="17"/>
      <c r="F18" s="17"/>
    </row>
    <row r="19" spans="1:13" ht="31.5" x14ac:dyDescent="0.25">
      <c r="A19" s="29" t="s">
        <v>72</v>
      </c>
      <c r="B19" s="28" t="s">
        <v>62</v>
      </c>
      <c r="C19" s="13"/>
      <c r="E19" s="17"/>
      <c r="F19" s="17"/>
    </row>
    <row r="20" spans="1:13" ht="15.75" x14ac:dyDescent="0.25">
      <c r="A20" s="29" t="s">
        <v>73</v>
      </c>
      <c r="B20" s="14" t="s">
        <v>59</v>
      </c>
      <c r="C20" s="13">
        <f>F35</f>
        <v>2000000</v>
      </c>
      <c r="E20" s="17"/>
      <c r="F20" s="17"/>
    </row>
    <row r="21" spans="1:13" ht="15.75" x14ac:dyDescent="0.25">
      <c r="A21" s="29" t="s">
        <v>74</v>
      </c>
      <c r="B21" s="14" t="s">
        <v>60</v>
      </c>
      <c r="C21" s="13">
        <f>E35</f>
        <v>400000</v>
      </c>
      <c r="E21" s="17"/>
      <c r="F21" s="17"/>
    </row>
    <row r="22" spans="1:13" ht="15.75" x14ac:dyDescent="0.25">
      <c r="A22" s="29" t="s">
        <v>75</v>
      </c>
      <c r="B22" s="14" t="s">
        <v>63</v>
      </c>
      <c r="C22" s="13">
        <f>D35</f>
        <v>2400000</v>
      </c>
      <c r="E22" s="17"/>
      <c r="F22" s="17"/>
    </row>
    <row r="23" spans="1:13" ht="31.5" x14ac:dyDescent="0.25">
      <c r="A23" s="29" t="s">
        <v>76</v>
      </c>
      <c r="B23" s="28" t="s">
        <v>64</v>
      </c>
      <c r="C23" s="13"/>
      <c r="D23" s="31"/>
      <c r="E23" s="17"/>
      <c r="F23" s="17"/>
    </row>
    <row r="24" spans="1:13" ht="62.1" customHeight="1" x14ac:dyDescent="0.25">
      <c r="A24" s="29" t="s">
        <v>77</v>
      </c>
      <c r="B24" s="14" t="s">
        <v>59</v>
      </c>
      <c r="C24" s="13">
        <v>20000000</v>
      </c>
      <c r="D24" s="31"/>
      <c r="E24" s="17"/>
      <c r="F24" s="293" t="s">
        <v>191</v>
      </c>
      <c r="G24" s="293"/>
      <c r="H24" s="293"/>
    </row>
    <row r="25" spans="1:13" ht="135" x14ac:dyDescent="0.25">
      <c r="A25" s="29" t="s">
        <v>78</v>
      </c>
      <c r="B25" s="14" t="s">
        <v>60</v>
      </c>
      <c r="C25" s="13">
        <f>C24*0.2</f>
        <v>4000000</v>
      </c>
      <c r="D25" s="31"/>
      <c r="E25" s="17"/>
      <c r="F25" s="17" t="s">
        <v>192</v>
      </c>
    </row>
    <row r="26" spans="1:13" ht="15.75" x14ac:dyDescent="0.25">
      <c r="A26" s="29" t="s">
        <v>79</v>
      </c>
      <c r="B26" s="14" t="s">
        <v>63</v>
      </c>
      <c r="C26" s="13">
        <v>2400000</v>
      </c>
      <c r="D26" s="31"/>
      <c r="E26" s="17"/>
      <c r="F26" s="17"/>
    </row>
    <row r="27" spans="1:13" ht="15.75" x14ac:dyDescent="0.15">
      <c r="A27" s="29" t="s">
        <v>80</v>
      </c>
      <c r="B27" s="14" t="s">
        <v>12</v>
      </c>
      <c r="C27" s="184">
        <v>44411</v>
      </c>
      <c r="D27" s="32"/>
      <c r="E27" s="32"/>
      <c r="F27" s="193">
        <f>XNPV(E29,F37:F51,C37:C51)</f>
        <v>10671482.867300542</v>
      </c>
    </row>
    <row r="28" spans="1:13" ht="15.75" x14ac:dyDescent="0.25">
      <c r="A28" s="29" t="s">
        <v>81</v>
      </c>
      <c r="B28" s="14" t="s">
        <v>13</v>
      </c>
      <c r="C28" s="14">
        <v>15</v>
      </c>
      <c r="D28" s="32"/>
      <c r="E28" s="32"/>
      <c r="F28" s="17"/>
    </row>
    <row r="29" spans="1:13" x14ac:dyDescent="0.25">
      <c r="A29" s="18"/>
      <c r="B29" s="33"/>
      <c r="D29" s="34"/>
      <c r="E29" s="35">
        <v>15</v>
      </c>
      <c r="F29" s="17"/>
      <c r="G29" s="31"/>
    </row>
    <row r="30" spans="1:13" ht="31.5" x14ac:dyDescent="0.25">
      <c r="A30" s="18" t="s">
        <v>14</v>
      </c>
      <c r="B30" s="36" t="s">
        <v>16</v>
      </c>
      <c r="C30" s="15"/>
      <c r="F30" s="31">
        <f>XNPV(10,F36:F51,C36:C51)</f>
        <v>9358737.6316973511</v>
      </c>
      <c r="I30" s="15" t="s">
        <v>82</v>
      </c>
      <c r="J30" s="18" t="s">
        <v>83</v>
      </c>
    </row>
    <row r="31" spans="1:13" ht="16.5" thickBot="1" x14ac:dyDescent="0.3">
      <c r="F31" s="37"/>
    </row>
    <row r="32" spans="1:13" ht="34.5" customHeight="1" x14ac:dyDescent="0.25">
      <c r="B32" s="38" t="s">
        <v>17</v>
      </c>
      <c r="C32" s="39" t="s">
        <v>18</v>
      </c>
      <c r="D32" s="39" t="s">
        <v>19</v>
      </c>
      <c r="E32" s="39" t="s">
        <v>20</v>
      </c>
      <c r="F32" s="40" t="s">
        <v>21</v>
      </c>
      <c r="I32" s="41" t="s">
        <v>17</v>
      </c>
      <c r="J32" s="41" t="s">
        <v>18</v>
      </c>
      <c r="K32" s="41" t="s">
        <v>19</v>
      </c>
      <c r="L32" s="41" t="s">
        <v>20</v>
      </c>
      <c r="M32" s="41" t="s">
        <v>21</v>
      </c>
    </row>
    <row r="33" spans="2:13" x14ac:dyDescent="0.25">
      <c r="B33" s="2">
        <v>1</v>
      </c>
      <c r="C33" s="3">
        <v>2</v>
      </c>
      <c r="D33" s="3">
        <v>3</v>
      </c>
      <c r="E33" s="3">
        <v>4</v>
      </c>
      <c r="F33" s="42">
        <v>5</v>
      </c>
      <c r="I33" s="20" t="s">
        <v>86</v>
      </c>
      <c r="J33" s="20"/>
      <c r="K33" s="44">
        <f>SUM(K34:K49)</f>
        <v>30204000</v>
      </c>
      <c r="L33" s="44">
        <f>SUM(L34:L49)</f>
        <v>5034000</v>
      </c>
      <c r="M33" s="44">
        <f>SUM(M34:M49)</f>
        <v>25170000</v>
      </c>
    </row>
    <row r="34" spans="2:13" x14ac:dyDescent="0.25">
      <c r="B34" s="2" t="s">
        <v>22</v>
      </c>
      <c r="C34" s="3"/>
      <c r="D34" s="43">
        <f>SUM(D35:D51)</f>
        <v>30204000</v>
      </c>
      <c r="E34" s="43">
        <f>SUM(E35:E51)</f>
        <v>5034000</v>
      </c>
      <c r="F34" s="43">
        <f>SUM(F35:F51)</f>
        <v>25170000</v>
      </c>
      <c r="G34" s="15">
        <v>24600</v>
      </c>
      <c r="I34" s="29">
        <v>1</v>
      </c>
      <c r="J34" s="208">
        <v>44439</v>
      </c>
      <c r="K34" s="45">
        <f>D35</f>
        <v>2400000</v>
      </c>
      <c r="L34" s="45">
        <f>E35</f>
        <v>400000</v>
      </c>
      <c r="M34" s="45">
        <f>F35</f>
        <v>2000000</v>
      </c>
    </row>
    <row r="35" spans="2:13" x14ac:dyDescent="0.25">
      <c r="B35" s="197" t="s">
        <v>23</v>
      </c>
      <c r="C35" s="198">
        <f>C18</f>
        <v>44328</v>
      </c>
      <c r="D35" s="199">
        <v>2400000</v>
      </c>
      <c r="E35" s="200">
        <f>D35/1.2*0.2</f>
        <v>400000</v>
      </c>
      <c r="F35" s="201">
        <f>D35-E35</f>
        <v>2000000</v>
      </c>
      <c r="I35" s="29">
        <v>2</v>
      </c>
      <c r="J35" s="208">
        <v>44469</v>
      </c>
      <c r="K35" s="45">
        <f t="shared" ref="K35:M49" si="0">D37</f>
        <v>4200000</v>
      </c>
      <c r="L35" s="45">
        <f t="shared" si="0"/>
        <v>700000</v>
      </c>
      <c r="M35" s="45">
        <f t="shared" si="0"/>
        <v>3500000</v>
      </c>
    </row>
    <row r="36" spans="2:13" x14ac:dyDescent="0.25">
      <c r="B36" s="197">
        <v>1</v>
      </c>
      <c r="C36" s="202">
        <v>44418</v>
      </c>
      <c r="D36" s="203">
        <f>E36+F36</f>
        <v>0</v>
      </c>
      <c r="E36" s="200">
        <f>F36*0.2</f>
        <v>0</v>
      </c>
      <c r="F36" s="201">
        <v>0</v>
      </c>
      <c r="I36" s="29">
        <v>3</v>
      </c>
      <c r="J36" s="208">
        <v>44500</v>
      </c>
      <c r="K36" s="45">
        <f t="shared" si="0"/>
        <v>3600000</v>
      </c>
      <c r="L36" s="45">
        <f t="shared" si="0"/>
        <v>600000</v>
      </c>
      <c r="M36" s="45">
        <f t="shared" si="0"/>
        <v>3000000</v>
      </c>
    </row>
    <row r="37" spans="2:13" x14ac:dyDescent="0.25">
      <c r="B37" s="197">
        <v>2</v>
      </c>
      <c r="C37" s="202">
        <v>44449</v>
      </c>
      <c r="D37" s="203">
        <f>E37+F37</f>
        <v>4200000</v>
      </c>
      <c r="E37" s="200">
        <f>F37*0.2</f>
        <v>700000</v>
      </c>
      <c r="F37" s="201">
        <v>3500000</v>
      </c>
      <c r="I37" s="29">
        <v>4</v>
      </c>
      <c r="J37" s="208">
        <v>44530</v>
      </c>
      <c r="K37" s="45">
        <f t="shared" si="0"/>
        <v>2400000</v>
      </c>
      <c r="L37" s="45">
        <f t="shared" si="0"/>
        <v>400000</v>
      </c>
      <c r="M37" s="45">
        <f t="shared" si="0"/>
        <v>2000000</v>
      </c>
    </row>
    <row r="38" spans="2:13" x14ac:dyDescent="0.25">
      <c r="B38" s="197">
        <v>3</v>
      </c>
      <c r="C38" s="202">
        <v>44479</v>
      </c>
      <c r="D38" s="203">
        <f t="shared" ref="D38:D51" si="1">E38+F38</f>
        <v>3600000</v>
      </c>
      <c r="E38" s="200">
        <f t="shared" ref="E38:E51" si="2">F38*0.2</f>
        <v>600000</v>
      </c>
      <c r="F38" s="201">
        <v>3000000</v>
      </c>
      <c r="I38" s="29">
        <v>5</v>
      </c>
      <c r="J38" s="208">
        <v>44561</v>
      </c>
      <c r="K38" s="209">
        <f t="shared" si="0"/>
        <v>2400000</v>
      </c>
      <c r="L38" s="209">
        <f t="shared" si="0"/>
        <v>400000</v>
      </c>
      <c r="M38" s="209">
        <f t="shared" si="0"/>
        <v>2000000</v>
      </c>
    </row>
    <row r="39" spans="2:13" x14ac:dyDescent="0.25">
      <c r="B39" s="197">
        <v>4</v>
      </c>
      <c r="C39" s="202">
        <v>44510</v>
      </c>
      <c r="D39" s="203">
        <f t="shared" si="1"/>
        <v>2400000</v>
      </c>
      <c r="E39" s="200">
        <f t="shared" si="2"/>
        <v>400000</v>
      </c>
      <c r="F39" s="201">
        <v>2000000</v>
      </c>
      <c r="I39" s="29">
        <v>6</v>
      </c>
      <c r="J39" s="208">
        <v>44592</v>
      </c>
      <c r="K39" s="45">
        <f t="shared" si="0"/>
        <v>2400000</v>
      </c>
      <c r="L39" s="45">
        <f t="shared" si="0"/>
        <v>400000</v>
      </c>
      <c r="M39" s="45">
        <f t="shared" si="0"/>
        <v>2000000</v>
      </c>
    </row>
    <row r="40" spans="2:13" x14ac:dyDescent="0.25">
      <c r="B40" s="197">
        <v>5</v>
      </c>
      <c r="C40" s="202">
        <v>44540</v>
      </c>
      <c r="D40" s="203">
        <f t="shared" si="1"/>
        <v>2400000</v>
      </c>
      <c r="E40" s="200">
        <f t="shared" si="2"/>
        <v>400000</v>
      </c>
      <c r="F40" s="201">
        <v>2000000</v>
      </c>
      <c r="I40" s="29">
        <v>7</v>
      </c>
      <c r="J40" s="208">
        <v>44620</v>
      </c>
      <c r="K40" s="45">
        <f t="shared" si="0"/>
        <v>1800000</v>
      </c>
      <c r="L40" s="45">
        <f t="shared" si="0"/>
        <v>300000</v>
      </c>
      <c r="M40" s="45">
        <f t="shared" si="0"/>
        <v>1500000</v>
      </c>
    </row>
    <row r="41" spans="2:13" x14ac:dyDescent="0.25">
      <c r="B41" s="197">
        <v>6</v>
      </c>
      <c r="C41" s="202">
        <v>44571</v>
      </c>
      <c r="D41" s="203">
        <f t="shared" si="1"/>
        <v>2400000</v>
      </c>
      <c r="E41" s="200">
        <f t="shared" si="2"/>
        <v>400000</v>
      </c>
      <c r="F41" s="201">
        <v>2000000</v>
      </c>
      <c r="I41" s="29">
        <v>8</v>
      </c>
      <c r="J41" s="208">
        <v>44651</v>
      </c>
      <c r="K41" s="45">
        <f t="shared" si="0"/>
        <v>1800000</v>
      </c>
      <c r="L41" s="45">
        <f t="shared" si="0"/>
        <v>300000</v>
      </c>
      <c r="M41" s="45">
        <f t="shared" si="0"/>
        <v>1500000</v>
      </c>
    </row>
    <row r="42" spans="2:13" x14ac:dyDescent="0.25">
      <c r="B42" s="197">
        <v>7</v>
      </c>
      <c r="C42" s="202">
        <v>44602</v>
      </c>
      <c r="D42" s="203">
        <f t="shared" si="1"/>
        <v>1800000</v>
      </c>
      <c r="E42" s="200">
        <f t="shared" si="2"/>
        <v>300000</v>
      </c>
      <c r="F42" s="201">
        <v>1500000</v>
      </c>
      <c r="I42" s="29">
        <v>9</v>
      </c>
      <c r="J42" s="208">
        <v>44681</v>
      </c>
      <c r="K42" s="45">
        <f t="shared" si="0"/>
        <v>1800000</v>
      </c>
      <c r="L42" s="45">
        <f t="shared" si="0"/>
        <v>300000</v>
      </c>
      <c r="M42" s="45">
        <f t="shared" si="0"/>
        <v>1500000</v>
      </c>
    </row>
    <row r="43" spans="2:13" x14ac:dyDescent="0.25">
      <c r="B43" s="197">
        <v>8</v>
      </c>
      <c r="C43" s="202">
        <v>44630</v>
      </c>
      <c r="D43" s="203">
        <f t="shared" si="1"/>
        <v>1800000</v>
      </c>
      <c r="E43" s="200">
        <f t="shared" si="2"/>
        <v>300000</v>
      </c>
      <c r="F43" s="201">
        <v>1500000</v>
      </c>
      <c r="I43" s="29">
        <v>10</v>
      </c>
      <c r="J43" s="208">
        <v>44712</v>
      </c>
      <c r="K43" s="45">
        <f t="shared" si="0"/>
        <v>1200000</v>
      </c>
      <c r="L43" s="45">
        <f t="shared" si="0"/>
        <v>200000</v>
      </c>
      <c r="M43" s="45">
        <f t="shared" si="0"/>
        <v>1000000</v>
      </c>
    </row>
    <row r="44" spans="2:13" x14ac:dyDescent="0.25">
      <c r="B44" s="197">
        <v>9</v>
      </c>
      <c r="C44" s="202">
        <v>44661</v>
      </c>
      <c r="D44" s="203">
        <f t="shared" si="1"/>
        <v>1800000</v>
      </c>
      <c r="E44" s="200">
        <f t="shared" si="2"/>
        <v>300000</v>
      </c>
      <c r="F44" s="201">
        <f t="shared" ref="F44" si="3">F43</f>
        <v>1500000</v>
      </c>
      <c r="I44" s="29">
        <v>11</v>
      </c>
      <c r="J44" s="208">
        <v>44742</v>
      </c>
      <c r="K44" s="45">
        <f t="shared" si="0"/>
        <v>1200000</v>
      </c>
      <c r="L44" s="45">
        <f t="shared" si="0"/>
        <v>200000</v>
      </c>
      <c r="M44" s="45">
        <f t="shared" si="0"/>
        <v>1000000</v>
      </c>
    </row>
    <row r="45" spans="2:13" x14ac:dyDescent="0.25">
      <c r="B45" s="197">
        <v>10</v>
      </c>
      <c r="C45" s="202">
        <v>44691</v>
      </c>
      <c r="D45" s="203">
        <f t="shared" si="1"/>
        <v>1200000</v>
      </c>
      <c r="E45" s="200">
        <f t="shared" si="2"/>
        <v>200000</v>
      </c>
      <c r="F45" s="201">
        <v>1000000</v>
      </c>
      <c r="I45" s="29">
        <v>12</v>
      </c>
      <c r="J45" s="208">
        <v>44773</v>
      </c>
      <c r="K45" s="45">
        <f t="shared" si="0"/>
        <v>1200000</v>
      </c>
      <c r="L45" s="45">
        <f t="shared" si="0"/>
        <v>200000</v>
      </c>
      <c r="M45" s="45">
        <f t="shared" si="0"/>
        <v>1000000</v>
      </c>
    </row>
    <row r="46" spans="2:13" x14ac:dyDescent="0.25">
      <c r="B46" s="197">
        <v>11</v>
      </c>
      <c r="C46" s="202">
        <v>44722</v>
      </c>
      <c r="D46" s="203">
        <f t="shared" si="1"/>
        <v>1200000</v>
      </c>
      <c r="E46" s="200">
        <f t="shared" si="2"/>
        <v>200000</v>
      </c>
      <c r="F46" s="201">
        <v>1000000</v>
      </c>
      <c r="I46" s="29">
        <v>13</v>
      </c>
      <c r="J46" s="208">
        <v>44804</v>
      </c>
      <c r="K46" s="45">
        <f t="shared" si="0"/>
        <v>1188000</v>
      </c>
      <c r="L46" s="45">
        <f t="shared" si="0"/>
        <v>198000</v>
      </c>
      <c r="M46" s="45">
        <f t="shared" si="0"/>
        <v>990000</v>
      </c>
    </row>
    <row r="47" spans="2:13" x14ac:dyDescent="0.25">
      <c r="B47" s="197">
        <v>12</v>
      </c>
      <c r="C47" s="202">
        <v>44752</v>
      </c>
      <c r="D47" s="203">
        <f t="shared" si="1"/>
        <v>1200000</v>
      </c>
      <c r="E47" s="200">
        <f t="shared" si="2"/>
        <v>200000</v>
      </c>
      <c r="F47" s="201">
        <v>1000000</v>
      </c>
      <c r="I47" s="29">
        <v>14</v>
      </c>
      <c r="J47" s="208">
        <v>44834</v>
      </c>
      <c r="K47" s="45">
        <f t="shared" si="0"/>
        <v>1188000</v>
      </c>
      <c r="L47" s="45">
        <f t="shared" si="0"/>
        <v>198000</v>
      </c>
      <c r="M47" s="45">
        <f t="shared" si="0"/>
        <v>990000</v>
      </c>
    </row>
    <row r="48" spans="2:13" x14ac:dyDescent="0.25">
      <c r="B48" s="197">
        <v>13</v>
      </c>
      <c r="C48" s="202">
        <v>44783</v>
      </c>
      <c r="D48" s="203">
        <f t="shared" si="1"/>
        <v>1188000</v>
      </c>
      <c r="E48" s="200">
        <f t="shared" si="2"/>
        <v>198000</v>
      </c>
      <c r="F48" s="201">
        <v>990000</v>
      </c>
      <c r="I48" s="29">
        <v>15</v>
      </c>
      <c r="J48" s="208">
        <v>44865</v>
      </c>
      <c r="K48" s="45">
        <f t="shared" si="0"/>
        <v>1188000</v>
      </c>
      <c r="L48" s="45">
        <f t="shared" si="0"/>
        <v>198000</v>
      </c>
      <c r="M48" s="45">
        <f t="shared" si="0"/>
        <v>990000</v>
      </c>
    </row>
    <row r="49" spans="1:13" x14ac:dyDescent="0.25">
      <c r="B49" s="197">
        <v>14</v>
      </c>
      <c r="C49" s="202">
        <v>44814</v>
      </c>
      <c r="D49" s="203">
        <f t="shared" si="1"/>
        <v>1188000</v>
      </c>
      <c r="E49" s="200">
        <f t="shared" si="2"/>
        <v>198000</v>
      </c>
      <c r="F49" s="201">
        <v>990000</v>
      </c>
      <c r="I49" s="29" t="s">
        <v>24</v>
      </c>
      <c r="J49" s="208">
        <f>C51</f>
        <v>44867</v>
      </c>
      <c r="K49" s="45">
        <f t="shared" si="0"/>
        <v>240000</v>
      </c>
      <c r="L49" s="45">
        <f t="shared" si="0"/>
        <v>40000</v>
      </c>
      <c r="M49" s="45">
        <f t="shared" si="0"/>
        <v>200000</v>
      </c>
    </row>
    <row r="50" spans="1:13" x14ac:dyDescent="0.25">
      <c r="B50" s="197">
        <v>15</v>
      </c>
      <c r="C50" s="202">
        <v>44844</v>
      </c>
      <c r="D50" s="203">
        <f t="shared" si="1"/>
        <v>1188000</v>
      </c>
      <c r="E50" s="200">
        <f t="shared" si="2"/>
        <v>198000</v>
      </c>
      <c r="F50" s="201">
        <v>990000</v>
      </c>
    </row>
    <row r="51" spans="1:13" ht="15.75" thickBot="1" x14ac:dyDescent="0.3">
      <c r="B51" s="204" t="s">
        <v>24</v>
      </c>
      <c r="C51" s="202">
        <v>44867</v>
      </c>
      <c r="D51" s="205">
        <f t="shared" si="1"/>
        <v>240000</v>
      </c>
      <c r="E51" s="206">
        <f t="shared" si="2"/>
        <v>40000</v>
      </c>
      <c r="F51" s="207">
        <v>200000</v>
      </c>
      <c r="H51" s="31"/>
    </row>
    <row r="52" spans="1:13" x14ac:dyDescent="0.25">
      <c r="J52" s="15" t="s">
        <v>85</v>
      </c>
    </row>
    <row r="53" spans="1:13" ht="75" x14ac:dyDescent="0.25">
      <c r="A53" s="15" t="s">
        <v>96</v>
      </c>
      <c r="B53" s="105" t="s">
        <v>97</v>
      </c>
    </row>
    <row r="55" spans="1:13" ht="17.25" customHeight="1" x14ac:dyDescent="0.25">
      <c r="B55" s="106" t="s">
        <v>105</v>
      </c>
      <c r="C55" s="106" t="s">
        <v>106</v>
      </c>
    </row>
    <row r="56" spans="1:13" x14ac:dyDescent="0.25">
      <c r="B56" s="59" t="s">
        <v>26</v>
      </c>
      <c r="C56" s="60">
        <f>C27</f>
        <v>44411</v>
      </c>
    </row>
    <row r="57" spans="1:13" x14ac:dyDescent="0.25">
      <c r="B57" s="59" t="s">
        <v>98</v>
      </c>
      <c r="C57" s="59" t="s">
        <v>100</v>
      </c>
    </row>
    <row r="58" spans="1:13" ht="31.5" customHeight="1" x14ac:dyDescent="0.25">
      <c r="B58" s="59" t="s">
        <v>101</v>
      </c>
      <c r="C58" s="59" t="s">
        <v>103</v>
      </c>
    </row>
    <row r="59" spans="1:13" ht="20.25" customHeight="1" x14ac:dyDescent="0.25">
      <c r="B59" s="59" t="s">
        <v>102</v>
      </c>
      <c r="C59" s="61">
        <f>C24</f>
        <v>20000000</v>
      </c>
    </row>
    <row r="60" spans="1:13" ht="60" x14ac:dyDescent="0.25">
      <c r="B60" s="17" t="s">
        <v>104</v>
      </c>
    </row>
    <row r="62" spans="1:13" s="58" customFormat="1" ht="37.5" x14ac:dyDescent="0.25">
      <c r="B62" s="57" t="s">
        <v>112</v>
      </c>
      <c r="C62" s="57"/>
    </row>
    <row r="64" spans="1:13" ht="37.5" customHeight="1" x14ac:dyDescent="0.3">
      <c r="A64" s="4" t="s">
        <v>15</v>
      </c>
      <c r="B64" s="294" t="s">
        <v>30</v>
      </c>
      <c r="C64" s="294"/>
      <c r="D64"/>
      <c r="E64"/>
      <c r="F64"/>
      <c r="G64"/>
      <c r="H64"/>
      <c r="I64" s="5"/>
    </row>
    <row r="65" spans="1:11" x14ac:dyDescent="0.25">
      <c r="A65" s="295" t="s">
        <v>18</v>
      </c>
      <c r="B65" s="295" t="s">
        <v>94</v>
      </c>
      <c r="C65" s="297" t="s">
        <v>31</v>
      </c>
      <c r="D65" s="298"/>
      <c r="E65" s="195"/>
      <c r="F65" s="194" t="s">
        <v>32</v>
      </c>
      <c r="G65" s="194"/>
      <c r="H65" s="194"/>
      <c r="I65" s="302" t="s">
        <v>95</v>
      </c>
    </row>
    <row r="66" spans="1:11" x14ac:dyDescent="0.25">
      <c r="A66" s="296"/>
      <c r="B66" s="296"/>
      <c r="C66" s="195" t="s">
        <v>33</v>
      </c>
      <c r="D66" s="195" t="s">
        <v>34</v>
      </c>
      <c r="E66" s="195" t="s">
        <v>35</v>
      </c>
      <c r="F66" s="194" t="s">
        <v>33</v>
      </c>
      <c r="G66" s="194" t="s">
        <v>34</v>
      </c>
      <c r="H66" s="194" t="s">
        <v>35</v>
      </c>
      <c r="I66" s="302"/>
    </row>
    <row r="67" spans="1:11" x14ac:dyDescent="0.25">
      <c r="A67" s="62"/>
      <c r="B67" s="63" t="s">
        <v>23</v>
      </c>
      <c r="C67" s="64"/>
      <c r="D67" s="64"/>
      <c r="E67" s="65"/>
      <c r="F67" s="66"/>
      <c r="G67" s="66"/>
      <c r="H67" s="66"/>
      <c r="I67" s="7"/>
    </row>
    <row r="68" spans="1:11" ht="30" x14ac:dyDescent="0.25">
      <c r="A68" s="67">
        <f>C87</f>
        <v>44328</v>
      </c>
      <c r="B68" s="68" t="s">
        <v>36</v>
      </c>
      <c r="C68" s="69" t="s">
        <v>52</v>
      </c>
      <c r="D68" s="64">
        <v>51</v>
      </c>
      <c r="E68" s="70">
        <f>D87</f>
        <v>2400000</v>
      </c>
      <c r="F68" s="71" t="s">
        <v>124</v>
      </c>
      <c r="G68" s="71" t="s">
        <v>125</v>
      </c>
      <c r="H68" s="72">
        <f>E68</f>
        <v>2400000</v>
      </c>
      <c r="I68" s="6" t="s">
        <v>36</v>
      </c>
    </row>
    <row r="71" spans="1:11" s="46" customFormat="1" ht="23.25" customHeight="1" x14ac:dyDescent="0.25">
      <c r="B71" s="196" t="s">
        <v>91</v>
      </c>
      <c r="C71" s="303" t="s">
        <v>88</v>
      </c>
      <c r="D71" s="303"/>
      <c r="E71" s="303"/>
      <c r="F71" s="303"/>
      <c r="G71" s="303"/>
      <c r="H71" s="303"/>
    </row>
    <row r="72" spans="1:11" s="76" customFormat="1" ht="23.25" customHeight="1" x14ac:dyDescent="0.2">
      <c r="B72" s="304" t="s">
        <v>107</v>
      </c>
      <c r="C72" s="304"/>
      <c r="D72" s="77"/>
      <c r="E72" s="138" t="s">
        <v>152</v>
      </c>
      <c r="F72" s="77"/>
      <c r="G72" s="77"/>
      <c r="H72" s="77"/>
      <c r="J72" s="138" t="s">
        <v>151</v>
      </c>
    </row>
    <row r="73" spans="1:11" s="76" customFormat="1" ht="23.25" customHeight="1" x14ac:dyDescent="0.25">
      <c r="C73" s="234" t="s">
        <v>216</v>
      </c>
      <c r="D73" s="77"/>
      <c r="E73" s="116" t="s">
        <v>105</v>
      </c>
      <c r="F73" s="116" t="s">
        <v>11</v>
      </c>
      <c r="G73" s="77"/>
      <c r="H73" s="77"/>
      <c r="J73" s="116" t="s">
        <v>105</v>
      </c>
      <c r="K73" s="116" t="s">
        <v>11</v>
      </c>
    </row>
    <row r="74" spans="1:11" s="76" customFormat="1" ht="27" customHeight="1" x14ac:dyDescent="0.25">
      <c r="B74" s="80" t="s">
        <v>108</v>
      </c>
      <c r="C74" s="80" t="s">
        <v>11</v>
      </c>
      <c r="D74" s="77"/>
      <c r="E74" s="22" t="s">
        <v>153</v>
      </c>
      <c r="F74" s="139">
        <f>F133</f>
        <v>20000000</v>
      </c>
      <c r="G74" s="77"/>
      <c r="H74" s="77"/>
      <c r="J74" s="187" t="s">
        <v>136</v>
      </c>
      <c r="K74" s="118">
        <f>C59</f>
        <v>20000000</v>
      </c>
    </row>
    <row r="75" spans="1:11" s="76" customFormat="1" ht="31.5" customHeight="1" x14ac:dyDescent="0.25">
      <c r="B75" s="22" t="s">
        <v>109</v>
      </c>
      <c r="C75" s="163">
        <v>20000000</v>
      </c>
      <c r="D75" s="77"/>
      <c r="E75" s="140" t="s">
        <v>13</v>
      </c>
      <c r="F75" s="140">
        <f>C28</f>
        <v>15</v>
      </c>
      <c r="G75" s="77"/>
      <c r="H75" s="77"/>
      <c r="J75" s="188" t="s">
        <v>137</v>
      </c>
      <c r="K75" s="119" t="s">
        <v>138</v>
      </c>
    </row>
    <row r="76" spans="1:11" s="76" customFormat="1" ht="34.5" customHeight="1" x14ac:dyDescent="0.2">
      <c r="B76" s="22" t="s">
        <v>110</v>
      </c>
      <c r="C76" s="163">
        <v>-2000000</v>
      </c>
      <c r="D76" s="77"/>
      <c r="E76" s="140" t="s">
        <v>154</v>
      </c>
      <c r="F76" s="139">
        <f>F74/F75</f>
        <v>1333333.3333333333</v>
      </c>
      <c r="G76" s="77"/>
      <c r="H76" s="77"/>
      <c r="J76" s="188" t="s">
        <v>140</v>
      </c>
      <c r="K76" s="120" t="s">
        <v>139</v>
      </c>
    </row>
    <row r="77" spans="1:11" s="76" customFormat="1" ht="45.6" customHeight="1" x14ac:dyDescent="0.25">
      <c r="B77" s="22" t="s">
        <v>111</v>
      </c>
      <c r="C77" s="163">
        <f>C75+C76</f>
        <v>18000000</v>
      </c>
      <c r="D77" s="77"/>
      <c r="E77" s="77"/>
      <c r="F77" s="77"/>
      <c r="G77" s="77"/>
      <c r="H77" s="77"/>
      <c r="J77" s="140" t="s">
        <v>141</v>
      </c>
      <c r="K77" s="119">
        <v>63</v>
      </c>
    </row>
    <row r="78" spans="1:11" s="76" customFormat="1" ht="46.5" customHeight="1" x14ac:dyDescent="0.25">
      <c r="B78" s="114"/>
      <c r="C78" s="115"/>
      <c r="D78" s="77"/>
      <c r="E78" s="305" t="s">
        <v>185</v>
      </c>
      <c r="F78" s="305"/>
      <c r="G78" s="77"/>
      <c r="H78" s="77"/>
      <c r="J78" s="140" t="s">
        <v>142</v>
      </c>
      <c r="K78" s="119">
        <v>3</v>
      </c>
    </row>
    <row r="79" spans="1:11" s="76" customFormat="1" ht="54.95" customHeight="1" x14ac:dyDescent="0.25">
      <c r="B79" s="114"/>
      <c r="C79" s="115"/>
      <c r="D79" s="77"/>
      <c r="E79" s="140" t="s">
        <v>186</v>
      </c>
      <c r="F79" s="139">
        <f>C24</f>
        <v>20000000</v>
      </c>
      <c r="G79" s="77"/>
      <c r="H79" s="77"/>
      <c r="J79" s="140" t="s">
        <v>143</v>
      </c>
      <c r="K79" s="118">
        <f>K77/K78</f>
        <v>21</v>
      </c>
    </row>
    <row r="80" spans="1:11" s="76" customFormat="1" ht="34.5" customHeight="1" x14ac:dyDescent="0.25">
      <c r="B80" s="78"/>
      <c r="C80" s="79"/>
      <c r="D80" s="77"/>
      <c r="E80" s="140" t="s">
        <v>187</v>
      </c>
      <c r="F80" s="140">
        <v>15</v>
      </c>
      <c r="G80" s="77"/>
      <c r="H80" s="77"/>
      <c r="J80" s="188" t="s">
        <v>144</v>
      </c>
      <c r="K80" s="118">
        <f>K74/K79</f>
        <v>952380.95238095243</v>
      </c>
    </row>
    <row r="81" spans="2:22" s="76" customFormat="1" ht="23.25" customHeight="1" x14ac:dyDescent="0.25">
      <c r="B81" s="77"/>
      <c r="C81" s="77"/>
      <c r="D81" s="77"/>
      <c r="E81" s="140" t="s">
        <v>188</v>
      </c>
      <c r="F81" s="189">
        <f>F79/F80</f>
        <v>1333333.3333333333</v>
      </c>
      <c r="H81" s="77"/>
    </row>
    <row r="82" spans="2:22" ht="16.5" customHeight="1" x14ac:dyDescent="0.25">
      <c r="B82" s="288" t="s">
        <v>149</v>
      </c>
      <c r="C82" s="288"/>
      <c r="D82" s="288"/>
      <c r="E82" s="288"/>
      <c r="F82" s="288"/>
      <c r="G82" s="288"/>
      <c r="H82" s="288"/>
    </row>
    <row r="83" spans="2:22" ht="45.75" customHeight="1" thickBot="1" x14ac:dyDescent="0.3">
      <c r="B83" s="47"/>
      <c r="C83" s="47"/>
      <c r="D83" s="47"/>
      <c r="E83" s="48"/>
      <c r="F83" s="84" t="s">
        <v>89</v>
      </c>
      <c r="G83" s="85">
        <f>XIRR(F88:F119,C88:C119,"0,1")</f>
        <v>0.68830527663230889</v>
      </c>
      <c r="H83" s="291" t="s">
        <v>90</v>
      </c>
      <c r="I83" s="292"/>
      <c r="L83" s="288" t="s">
        <v>135</v>
      </c>
      <c r="M83" s="288"/>
      <c r="N83" s="288"/>
      <c r="O83" s="288"/>
      <c r="P83" s="288"/>
      <c r="Q83" s="288"/>
      <c r="R83" s="288"/>
    </row>
    <row r="84" spans="2:22" ht="64.5" customHeight="1" x14ac:dyDescent="0.25">
      <c r="B84" s="38" t="s">
        <v>17</v>
      </c>
      <c r="C84" s="39" t="s">
        <v>18</v>
      </c>
      <c r="D84" s="39" t="s">
        <v>19</v>
      </c>
      <c r="E84" s="39" t="s">
        <v>20</v>
      </c>
      <c r="F84" s="39" t="s">
        <v>21</v>
      </c>
      <c r="G84" s="88" t="s">
        <v>27</v>
      </c>
      <c r="H84" s="89" t="s">
        <v>87</v>
      </c>
      <c r="I84" s="212" t="s">
        <v>190</v>
      </c>
      <c r="J84" s="190" t="s">
        <v>189</v>
      </c>
      <c r="L84" s="41" t="str">
        <f>I32</f>
        <v>№ платежа</v>
      </c>
      <c r="M84" s="41" t="str">
        <f>J32</f>
        <v>Дата</v>
      </c>
      <c r="N84" s="41" t="str">
        <f>K32</f>
        <v>Сумма с НДС, руб.</v>
      </c>
      <c r="O84" s="41" t="str">
        <f>L32</f>
        <v>НДС, руб.</v>
      </c>
      <c r="P84" s="41" t="str">
        <f>M32</f>
        <v>Сумма без НДС, руб.</v>
      </c>
      <c r="Q84" s="127" t="s">
        <v>147</v>
      </c>
      <c r="R84" s="127" t="s">
        <v>221</v>
      </c>
      <c r="S84" s="216" t="s">
        <v>24</v>
      </c>
      <c r="T84" s="127" t="s">
        <v>220</v>
      </c>
      <c r="U84" s="127" t="s">
        <v>217</v>
      </c>
    </row>
    <row r="85" spans="2:22" x14ac:dyDescent="0.25">
      <c r="B85" s="81">
        <v>1</v>
      </c>
      <c r="C85" s="82">
        <v>2</v>
      </c>
      <c r="D85" s="82">
        <v>3</v>
      </c>
      <c r="E85" s="82">
        <v>4</v>
      </c>
      <c r="F85" s="82">
        <v>5</v>
      </c>
      <c r="G85" s="83">
        <v>6</v>
      </c>
      <c r="H85" s="90">
        <v>7</v>
      </c>
      <c r="I85" s="213"/>
      <c r="J85" s="191"/>
      <c r="L85" s="41" t="str">
        <f t="shared" ref="L85:L101" si="4">I33</f>
        <v>Итого:</v>
      </c>
      <c r="M85" s="121"/>
      <c r="N85" s="122">
        <f t="shared" ref="N85:N101" si="5">K33</f>
        <v>30204000</v>
      </c>
      <c r="O85" s="122">
        <f>SUM(O86:O101)</f>
        <v>5034000</v>
      </c>
      <c r="P85" s="122">
        <f t="shared" ref="P85:P101" si="6">M33</f>
        <v>25170000</v>
      </c>
      <c r="Q85" s="217">
        <f>SUM(Q86:Q101)</f>
        <v>13333333.333333328</v>
      </c>
      <c r="R85" s="217">
        <f>SUM(R86:R101)</f>
        <v>11636666.666666675</v>
      </c>
      <c r="S85" s="217">
        <f>SUM(S86:S101)</f>
        <v>200000</v>
      </c>
      <c r="T85" s="216"/>
      <c r="U85" s="217">
        <f>U101</f>
        <v>24970000</v>
      </c>
    </row>
    <row r="86" spans="2:22" x14ac:dyDescent="0.25">
      <c r="B86" s="91" t="s">
        <v>28</v>
      </c>
      <c r="C86" s="51"/>
      <c r="D86" s="44">
        <f>SUM(D87:D119)</f>
        <v>30204000</v>
      </c>
      <c r="E86" s="44">
        <f>SUM(E87:E119)</f>
        <v>5034000</v>
      </c>
      <c r="F86" s="44">
        <f>SUM(F89:F119)+F87</f>
        <v>25170000</v>
      </c>
      <c r="G86" s="218">
        <f>SUM(G89:G119)</f>
        <v>5169999.9862259664</v>
      </c>
      <c r="H86" s="92"/>
      <c r="I86" s="213"/>
      <c r="J86" s="191"/>
      <c r="L86" s="123">
        <f t="shared" si="4"/>
        <v>1</v>
      </c>
      <c r="M86" s="124">
        <f t="shared" ref="M86:M101" si="7">J34</f>
        <v>44439</v>
      </c>
      <c r="N86" s="125">
        <f t="shared" si="5"/>
        <v>2400000</v>
      </c>
      <c r="O86" s="125">
        <f t="shared" ref="O86:O101" si="8">L34</f>
        <v>400000</v>
      </c>
      <c r="P86" s="125">
        <f t="shared" si="6"/>
        <v>2000000</v>
      </c>
      <c r="Q86" s="126">
        <v>0</v>
      </c>
      <c r="R86" s="126">
        <f>P86-Q86</f>
        <v>2000000</v>
      </c>
      <c r="S86" s="29"/>
      <c r="T86" s="126">
        <f>C24</f>
        <v>20000000</v>
      </c>
      <c r="U86" s="126">
        <f>Q86+R86</f>
        <v>2000000</v>
      </c>
      <c r="V86" s="31"/>
    </row>
    <row r="87" spans="2:22" x14ac:dyDescent="0.25">
      <c r="B87" s="93" t="s">
        <v>23</v>
      </c>
      <c r="C87" s="52">
        <f>C35</f>
        <v>44328</v>
      </c>
      <c r="D87" s="53">
        <f>D35</f>
        <v>2400000</v>
      </c>
      <c r="E87" s="53">
        <f>E35</f>
        <v>400000</v>
      </c>
      <c r="F87" s="53">
        <f>F35</f>
        <v>2000000</v>
      </c>
      <c r="G87" s="49"/>
      <c r="H87" s="92"/>
      <c r="I87" s="213"/>
      <c r="J87" s="191"/>
      <c r="L87" s="123">
        <f t="shared" si="4"/>
        <v>2</v>
      </c>
      <c r="M87" s="124">
        <f t="shared" si="7"/>
        <v>44469</v>
      </c>
      <c r="N87" s="125">
        <f t="shared" si="5"/>
        <v>4200000</v>
      </c>
      <c r="O87" s="125">
        <f t="shared" si="8"/>
        <v>700000</v>
      </c>
      <c r="P87" s="125">
        <f t="shared" si="6"/>
        <v>3500000</v>
      </c>
      <c r="Q87" s="126">
        <f t="shared" ref="Q87:Q100" si="9">$K$80</f>
        <v>952380.95238095243</v>
      </c>
      <c r="R87" s="126">
        <f t="shared" ref="R87:R100" si="10">P87-Q87</f>
        <v>2547619.0476190476</v>
      </c>
      <c r="S87" s="29"/>
      <c r="T87" s="126">
        <f>T86-Q87</f>
        <v>19047619.047619049</v>
      </c>
      <c r="U87" s="126">
        <f>U86+Q87+R87</f>
        <v>5500000</v>
      </c>
      <c r="V87" s="31"/>
    </row>
    <row r="88" spans="2:22" x14ac:dyDescent="0.25">
      <c r="B88" s="94" t="s">
        <v>29</v>
      </c>
      <c r="C88" s="54">
        <f>C27</f>
        <v>44411</v>
      </c>
      <c r="D88" s="55"/>
      <c r="E88" s="55"/>
      <c r="F88" s="55">
        <f>-(C24-F87)</f>
        <v>-18000000</v>
      </c>
      <c r="G88" s="49"/>
      <c r="H88" s="92">
        <f>-F88</f>
        <v>18000000</v>
      </c>
      <c r="I88" s="213"/>
      <c r="J88" s="191"/>
      <c r="L88" s="123">
        <f t="shared" si="4"/>
        <v>3</v>
      </c>
      <c r="M88" s="124">
        <f t="shared" si="7"/>
        <v>44500</v>
      </c>
      <c r="N88" s="125">
        <f t="shared" si="5"/>
        <v>3600000</v>
      </c>
      <c r="O88" s="125">
        <f t="shared" si="8"/>
        <v>600000</v>
      </c>
      <c r="P88" s="125">
        <f t="shared" si="6"/>
        <v>3000000</v>
      </c>
      <c r="Q88" s="126">
        <f t="shared" si="9"/>
        <v>952380.95238095243</v>
      </c>
      <c r="R88" s="126">
        <f t="shared" si="10"/>
        <v>2047619.0476190476</v>
      </c>
      <c r="S88" s="29"/>
      <c r="T88" s="126">
        <f t="shared" ref="T88:T101" si="11">T87-Q88</f>
        <v>18095238.095238097</v>
      </c>
      <c r="U88" s="126">
        <f t="shared" ref="U88:U101" si="12">U87+Q88+R88</f>
        <v>8500000</v>
      </c>
    </row>
    <row r="89" spans="2:22" x14ac:dyDescent="0.25">
      <c r="B89" s="95">
        <v>1</v>
      </c>
      <c r="C89" s="56">
        <f>C36</f>
        <v>44418</v>
      </c>
      <c r="D89" s="50">
        <f>D36</f>
        <v>0</v>
      </c>
      <c r="E89" s="50">
        <f>E36</f>
        <v>0</v>
      </c>
      <c r="F89" s="50">
        <f>F36</f>
        <v>0</v>
      </c>
      <c r="G89" s="49">
        <f t="shared" ref="G89:G119" si="13">H88*((1+$G$83)^((C89-C88)/365)-1)</f>
        <v>181703.8125552588</v>
      </c>
      <c r="H89" s="92">
        <f t="shared" ref="H89:H119" si="14">H88+G89-F89</f>
        <v>18181703.812555257</v>
      </c>
      <c r="I89" s="213"/>
      <c r="J89" s="191"/>
      <c r="L89" s="123">
        <f t="shared" si="4"/>
        <v>4</v>
      </c>
      <c r="M89" s="124">
        <f t="shared" si="7"/>
        <v>44530</v>
      </c>
      <c r="N89" s="125">
        <f t="shared" si="5"/>
        <v>2400000</v>
      </c>
      <c r="O89" s="125">
        <f t="shared" si="8"/>
        <v>400000</v>
      </c>
      <c r="P89" s="125">
        <f t="shared" si="6"/>
        <v>2000000</v>
      </c>
      <c r="Q89" s="126">
        <f t="shared" si="9"/>
        <v>952380.95238095243</v>
      </c>
      <c r="R89" s="126">
        <f t="shared" si="10"/>
        <v>1047619.0476190476</v>
      </c>
      <c r="S89" s="29"/>
      <c r="T89" s="126">
        <f t="shared" si="11"/>
        <v>17142857.142857146</v>
      </c>
      <c r="U89" s="126">
        <f t="shared" si="12"/>
        <v>10500000</v>
      </c>
    </row>
    <row r="90" spans="2:22" x14ac:dyDescent="0.25">
      <c r="B90" s="95"/>
      <c r="C90" s="56">
        <v>44439</v>
      </c>
      <c r="D90" s="50"/>
      <c r="E90" s="50"/>
      <c r="F90" s="50"/>
      <c r="G90" s="49">
        <f t="shared" si="13"/>
        <v>556191.11373342655</v>
      </c>
      <c r="H90" s="92">
        <f t="shared" si="14"/>
        <v>18737894.926288683</v>
      </c>
      <c r="I90" s="214">
        <f>F81</f>
        <v>1333333.3333333333</v>
      </c>
      <c r="J90" s="192">
        <f>$F$79-I90</f>
        <v>18666666.666666668</v>
      </c>
      <c r="L90" s="123">
        <f t="shared" si="4"/>
        <v>5</v>
      </c>
      <c r="M90" s="124">
        <f t="shared" si="7"/>
        <v>44561</v>
      </c>
      <c r="N90" s="125">
        <f t="shared" si="5"/>
        <v>2400000</v>
      </c>
      <c r="O90" s="125">
        <f t="shared" si="8"/>
        <v>400000</v>
      </c>
      <c r="P90" s="125">
        <f t="shared" si="6"/>
        <v>2000000</v>
      </c>
      <c r="Q90" s="126">
        <f t="shared" si="9"/>
        <v>952380.95238095243</v>
      </c>
      <c r="R90" s="126">
        <f t="shared" si="10"/>
        <v>1047619.0476190476</v>
      </c>
      <c r="S90" s="29"/>
      <c r="T90" s="126">
        <f t="shared" si="11"/>
        <v>16190476.190476194</v>
      </c>
      <c r="U90" s="126">
        <f t="shared" si="12"/>
        <v>12500000</v>
      </c>
    </row>
    <row r="91" spans="2:22" x14ac:dyDescent="0.25">
      <c r="B91" s="95">
        <v>2</v>
      </c>
      <c r="C91" s="56">
        <f>C37</f>
        <v>44449</v>
      </c>
      <c r="D91" s="50">
        <f>D37</f>
        <v>4200000</v>
      </c>
      <c r="E91" s="50">
        <f>E37</f>
        <v>700000</v>
      </c>
      <c r="F91" s="50">
        <f>F37</f>
        <v>3500000</v>
      </c>
      <c r="G91" s="49">
        <f t="shared" si="13"/>
        <v>270801.41177945241</v>
      </c>
      <c r="H91" s="92">
        <f t="shared" si="14"/>
        <v>15508696.338068135</v>
      </c>
      <c r="I91" s="213"/>
      <c r="J91" s="191"/>
      <c r="L91" s="123">
        <f t="shared" si="4"/>
        <v>6</v>
      </c>
      <c r="M91" s="124">
        <f t="shared" si="7"/>
        <v>44592</v>
      </c>
      <c r="N91" s="125">
        <f t="shared" si="5"/>
        <v>2400000</v>
      </c>
      <c r="O91" s="125">
        <f t="shared" si="8"/>
        <v>400000</v>
      </c>
      <c r="P91" s="125">
        <f t="shared" si="6"/>
        <v>2000000</v>
      </c>
      <c r="Q91" s="126">
        <f t="shared" si="9"/>
        <v>952380.95238095243</v>
      </c>
      <c r="R91" s="126">
        <f t="shared" si="10"/>
        <v>1047619.0476190476</v>
      </c>
      <c r="S91" s="29"/>
      <c r="T91" s="126">
        <f t="shared" si="11"/>
        <v>15238095.238095243</v>
      </c>
      <c r="U91" s="126">
        <f t="shared" si="12"/>
        <v>14500000</v>
      </c>
    </row>
    <row r="92" spans="2:22" x14ac:dyDescent="0.25">
      <c r="B92" s="95"/>
      <c r="C92" s="185">
        <v>44469</v>
      </c>
      <c r="D92" s="186"/>
      <c r="E92" s="186"/>
      <c r="F92" s="186">
        <v>0</v>
      </c>
      <c r="G92" s="49">
        <f t="shared" si="13"/>
        <v>451504.78420695593</v>
      </c>
      <c r="H92" s="92">
        <f t="shared" si="14"/>
        <v>15960201.122275092</v>
      </c>
      <c r="I92" s="214">
        <f>$I$90*B91</f>
        <v>2666666.6666666665</v>
      </c>
      <c r="J92" s="192">
        <f>$F$79-I92</f>
        <v>17333333.333333332</v>
      </c>
      <c r="L92" s="123">
        <f t="shared" si="4"/>
        <v>7</v>
      </c>
      <c r="M92" s="124">
        <f t="shared" si="7"/>
        <v>44620</v>
      </c>
      <c r="N92" s="125">
        <f t="shared" si="5"/>
        <v>1800000</v>
      </c>
      <c r="O92" s="125">
        <f t="shared" si="8"/>
        <v>300000</v>
      </c>
      <c r="P92" s="125">
        <f t="shared" si="6"/>
        <v>1500000</v>
      </c>
      <c r="Q92" s="126">
        <f t="shared" si="9"/>
        <v>952380.95238095243</v>
      </c>
      <c r="R92" s="126">
        <f t="shared" si="10"/>
        <v>547619.04761904757</v>
      </c>
      <c r="S92" s="29"/>
      <c r="T92" s="126">
        <f t="shared" si="11"/>
        <v>14285714.285714291</v>
      </c>
      <c r="U92" s="126">
        <f t="shared" si="12"/>
        <v>16000000</v>
      </c>
    </row>
    <row r="93" spans="2:22" x14ac:dyDescent="0.25">
      <c r="B93" s="95">
        <v>3</v>
      </c>
      <c r="C93" s="56">
        <f>C38</f>
        <v>44479</v>
      </c>
      <c r="D93" s="50">
        <f>D38</f>
        <v>3600000</v>
      </c>
      <c r="E93" s="50">
        <f>E38</f>
        <v>600000</v>
      </c>
      <c r="F93" s="50">
        <f>F38</f>
        <v>3000000</v>
      </c>
      <c r="G93" s="49">
        <f t="shared" si="13"/>
        <v>230657.98016256356</v>
      </c>
      <c r="H93" s="92">
        <f t="shared" si="14"/>
        <v>13190859.102437655</v>
      </c>
      <c r="I93" s="213"/>
      <c r="J93" s="191"/>
      <c r="L93" s="123">
        <f t="shared" si="4"/>
        <v>8</v>
      </c>
      <c r="M93" s="124">
        <f t="shared" si="7"/>
        <v>44651</v>
      </c>
      <c r="N93" s="125">
        <f t="shared" si="5"/>
        <v>1800000</v>
      </c>
      <c r="O93" s="125">
        <f t="shared" si="8"/>
        <v>300000</v>
      </c>
      <c r="P93" s="125">
        <f t="shared" si="6"/>
        <v>1500000</v>
      </c>
      <c r="Q93" s="126">
        <f t="shared" si="9"/>
        <v>952380.95238095243</v>
      </c>
      <c r="R93" s="126">
        <f t="shared" si="10"/>
        <v>547619.04761904757</v>
      </c>
      <c r="S93" s="29"/>
      <c r="T93" s="126">
        <f t="shared" si="11"/>
        <v>13333333.33333334</v>
      </c>
      <c r="U93" s="126">
        <f t="shared" si="12"/>
        <v>17500000</v>
      </c>
    </row>
    <row r="94" spans="2:22" x14ac:dyDescent="0.25">
      <c r="B94" s="96"/>
      <c r="C94" s="86">
        <v>44500</v>
      </c>
      <c r="D94" s="87"/>
      <c r="E94" s="87"/>
      <c r="F94" s="87"/>
      <c r="G94" s="49">
        <f t="shared" si="13"/>
        <v>403517.66209167033</v>
      </c>
      <c r="H94" s="92">
        <f t="shared" si="14"/>
        <v>13594376.764529325</v>
      </c>
      <c r="I94" s="214">
        <f>$I$90*B93</f>
        <v>4000000</v>
      </c>
      <c r="J94" s="192">
        <f>$F$79-I94</f>
        <v>16000000</v>
      </c>
      <c r="L94" s="123">
        <f t="shared" si="4"/>
        <v>9</v>
      </c>
      <c r="M94" s="124">
        <f t="shared" si="7"/>
        <v>44681</v>
      </c>
      <c r="N94" s="125">
        <f t="shared" si="5"/>
        <v>1800000</v>
      </c>
      <c r="O94" s="125">
        <f t="shared" si="8"/>
        <v>300000</v>
      </c>
      <c r="P94" s="125">
        <f t="shared" si="6"/>
        <v>1500000</v>
      </c>
      <c r="Q94" s="126">
        <f t="shared" si="9"/>
        <v>952380.95238095243</v>
      </c>
      <c r="R94" s="126">
        <f t="shared" si="10"/>
        <v>547619.04761904757</v>
      </c>
      <c r="S94" s="29"/>
      <c r="T94" s="126">
        <f t="shared" si="11"/>
        <v>12380952.380952388</v>
      </c>
      <c r="U94" s="126">
        <f t="shared" si="12"/>
        <v>19000000</v>
      </c>
    </row>
    <row r="95" spans="2:22" x14ac:dyDescent="0.25">
      <c r="B95" s="95">
        <v>4</v>
      </c>
      <c r="C95" s="56">
        <f>C39</f>
        <v>44510</v>
      </c>
      <c r="D95" s="50">
        <f>D39</f>
        <v>2400000</v>
      </c>
      <c r="E95" s="50">
        <f>E39</f>
        <v>400000</v>
      </c>
      <c r="F95" s="50">
        <f>F39</f>
        <v>2000000</v>
      </c>
      <c r="G95" s="49">
        <f t="shared" si="13"/>
        <v>196466.9155515153</v>
      </c>
      <c r="H95" s="92">
        <f t="shared" si="14"/>
        <v>11790843.68008084</v>
      </c>
      <c r="I95" s="213"/>
      <c r="J95" s="191"/>
      <c r="L95" s="123">
        <f t="shared" si="4"/>
        <v>10</v>
      </c>
      <c r="M95" s="124">
        <f t="shared" si="7"/>
        <v>44712</v>
      </c>
      <c r="N95" s="125">
        <f t="shared" si="5"/>
        <v>1200000</v>
      </c>
      <c r="O95" s="125">
        <f t="shared" si="8"/>
        <v>200000</v>
      </c>
      <c r="P95" s="125">
        <f t="shared" si="6"/>
        <v>1000000</v>
      </c>
      <c r="Q95" s="126">
        <f t="shared" si="9"/>
        <v>952380.95238095243</v>
      </c>
      <c r="R95" s="126">
        <f t="shared" si="10"/>
        <v>47619.047619047575</v>
      </c>
      <c r="S95" s="29"/>
      <c r="T95" s="126">
        <f t="shared" si="11"/>
        <v>11428571.428571437</v>
      </c>
      <c r="U95" s="126">
        <f t="shared" si="12"/>
        <v>20000000</v>
      </c>
    </row>
    <row r="96" spans="2:22" x14ac:dyDescent="0.25">
      <c r="B96" s="95"/>
      <c r="C96" s="56">
        <v>44530</v>
      </c>
      <c r="D96" s="50"/>
      <c r="E96" s="50"/>
      <c r="F96" s="50"/>
      <c r="G96" s="49">
        <f t="shared" si="13"/>
        <v>343266.9139523558</v>
      </c>
      <c r="H96" s="92">
        <f t="shared" si="14"/>
        <v>12134110.594033197</v>
      </c>
      <c r="I96" s="214">
        <f>$I$90*B95</f>
        <v>5333333.333333333</v>
      </c>
      <c r="J96" s="192">
        <f>$F$79-I96</f>
        <v>14666666.666666668</v>
      </c>
      <c r="L96" s="123">
        <f t="shared" si="4"/>
        <v>11</v>
      </c>
      <c r="M96" s="124">
        <f t="shared" si="7"/>
        <v>44742</v>
      </c>
      <c r="N96" s="125">
        <f t="shared" si="5"/>
        <v>1200000</v>
      </c>
      <c r="O96" s="125">
        <f t="shared" si="8"/>
        <v>200000</v>
      </c>
      <c r="P96" s="125">
        <f t="shared" si="6"/>
        <v>1000000</v>
      </c>
      <c r="Q96" s="126">
        <f t="shared" si="9"/>
        <v>952380.95238095243</v>
      </c>
      <c r="R96" s="126">
        <f t="shared" si="10"/>
        <v>47619.047619047575</v>
      </c>
      <c r="S96" s="29"/>
      <c r="T96" s="126">
        <f t="shared" si="11"/>
        <v>10476190.476190485</v>
      </c>
      <c r="U96" s="126">
        <f t="shared" si="12"/>
        <v>21000000</v>
      </c>
    </row>
    <row r="97" spans="2:21" x14ac:dyDescent="0.25">
      <c r="B97" s="95">
        <v>5</v>
      </c>
      <c r="C97" s="56">
        <f>C40</f>
        <v>44540</v>
      </c>
      <c r="D97" s="50">
        <f>D40</f>
        <v>2400000</v>
      </c>
      <c r="E97" s="50">
        <f>E40</f>
        <v>400000</v>
      </c>
      <c r="F97" s="50">
        <f>F40</f>
        <v>2000000</v>
      </c>
      <c r="G97" s="49">
        <f t="shared" si="13"/>
        <v>175363.04331294631</v>
      </c>
      <c r="H97" s="92">
        <f t="shared" si="14"/>
        <v>10309473.637346143</v>
      </c>
      <c r="I97" s="213"/>
      <c r="J97" s="191"/>
      <c r="L97" s="123">
        <f t="shared" si="4"/>
        <v>12</v>
      </c>
      <c r="M97" s="124">
        <f t="shared" si="7"/>
        <v>44773</v>
      </c>
      <c r="N97" s="125">
        <f t="shared" si="5"/>
        <v>1200000</v>
      </c>
      <c r="O97" s="125">
        <f t="shared" si="8"/>
        <v>200000</v>
      </c>
      <c r="P97" s="125">
        <f t="shared" si="6"/>
        <v>1000000</v>
      </c>
      <c r="Q97" s="126">
        <f t="shared" si="9"/>
        <v>952380.95238095243</v>
      </c>
      <c r="R97" s="126">
        <f t="shared" si="10"/>
        <v>47619.047619047575</v>
      </c>
      <c r="S97" s="29"/>
      <c r="T97" s="126">
        <f t="shared" si="11"/>
        <v>9523809.5238095336</v>
      </c>
      <c r="U97" s="126">
        <f t="shared" si="12"/>
        <v>22000000</v>
      </c>
    </row>
    <row r="98" spans="2:21" x14ac:dyDescent="0.25">
      <c r="B98" s="95"/>
      <c r="C98" s="210">
        <v>44561</v>
      </c>
      <c r="D98" s="211"/>
      <c r="E98" s="211"/>
      <c r="F98" s="211"/>
      <c r="G98" s="49">
        <f>H97*((1+$G$83)^((C98-C97)/365)-1)</f>
        <v>315374.05314024247</v>
      </c>
      <c r="H98" s="215">
        <f>H97+G98-F98</f>
        <v>10624847.690486385</v>
      </c>
      <c r="I98" s="231">
        <f>$I$90*B97</f>
        <v>6666666.666666666</v>
      </c>
      <c r="J98" s="232">
        <f>$F$79-I98</f>
        <v>13333333.333333334</v>
      </c>
      <c r="L98" s="123">
        <f t="shared" si="4"/>
        <v>13</v>
      </c>
      <c r="M98" s="124">
        <f t="shared" si="7"/>
        <v>44804</v>
      </c>
      <c r="N98" s="125">
        <f t="shared" si="5"/>
        <v>1188000</v>
      </c>
      <c r="O98" s="125">
        <f t="shared" si="8"/>
        <v>198000</v>
      </c>
      <c r="P98" s="125">
        <f t="shared" si="6"/>
        <v>990000</v>
      </c>
      <c r="Q98" s="126">
        <f t="shared" si="9"/>
        <v>952380.95238095243</v>
      </c>
      <c r="R98" s="126">
        <f t="shared" si="10"/>
        <v>37619.047619047575</v>
      </c>
      <c r="S98" s="29"/>
      <c r="T98" s="126">
        <f t="shared" si="11"/>
        <v>8571428.5714285821</v>
      </c>
      <c r="U98" s="126">
        <f t="shared" si="12"/>
        <v>22990000</v>
      </c>
    </row>
    <row r="99" spans="2:21" x14ac:dyDescent="0.25">
      <c r="B99" s="95">
        <v>6</v>
      </c>
      <c r="C99" s="56">
        <f>C41</f>
        <v>44571</v>
      </c>
      <c r="D99" s="50">
        <f>D41</f>
        <v>2400000</v>
      </c>
      <c r="E99" s="50">
        <f>E41</f>
        <v>400000</v>
      </c>
      <c r="F99" s="50">
        <f>F41</f>
        <v>2000000</v>
      </c>
      <c r="G99" s="49">
        <f t="shared" si="13"/>
        <v>153551.06674702888</v>
      </c>
      <c r="H99" s="92">
        <f t="shared" si="14"/>
        <v>8778398.7572334129</v>
      </c>
      <c r="I99" s="213"/>
      <c r="J99" s="191"/>
      <c r="L99" s="123">
        <f t="shared" si="4"/>
        <v>14</v>
      </c>
      <c r="M99" s="124">
        <f t="shared" si="7"/>
        <v>44834</v>
      </c>
      <c r="N99" s="125">
        <f t="shared" si="5"/>
        <v>1188000</v>
      </c>
      <c r="O99" s="125">
        <f t="shared" si="8"/>
        <v>198000</v>
      </c>
      <c r="P99" s="125">
        <f t="shared" si="6"/>
        <v>990000</v>
      </c>
      <c r="Q99" s="126">
        <f t="shared" si="9"/>
        <v>952380.95238095243</v>
      </c>
      <c r="R99" s="126">
        <f t="shared" si="10"/>
        <v>37619.047619047575</v>
      </c>
      <c r="S99" s="29"/>
      <c r="T99" s="126">
        <f t="shared" si="11"/>
        <v>7619047.6190476296</v>
      </c>
      <c r="U99" s="126">
        <f t="shared" si="12"/>
        <v>23980000</v>
      </c>
    </row>
    <row r="100" spans="2:21" x14ac:dyDescent="0.25">
      <c r="B100" s="95"/>
      <c r="C100" s="56">
        <v>44592</v>
      </c>
      <c r="D100" s="50"/>
      <c r="E100" s="50"/>
      <c r="F100" s="50"/>
      <c r="G100" s="49">
        <f t="shared" si="13"/>
        <v>268537.39517031529</v>
      </c>
      <c r="H100" s="92">
        <f t="shared" si="14"/>
        <v>9046936.152403729</v>
      </c>
      <c r="I100" s="214">
        <f>$I$90*B99</f>
        <v>8000000</v>
      </c>
      <c r="J100" s="192">
        <f>$F$79-I100</f>
        <v>12000000</v>
      </c>
      <c r="L100" s="123">
        <f t="shared" si="4"/>
        <v>15</v>
      </c>
      <c r="M100" s="124">
        <f t="shared" si="7"/>
        <v>44865</v>
      </c>
      <c r="N100" s="125">
        <f t="shared" si="5"/>
        <v>1188000</v>
      </c>
      <c r="O100" s="125">
        <f t="shared" si="8"/>
        <v>198000</v>
      </c>
      <c r="P100" s="125">
        <f t="shared" si="6"/>
        <v>990000</v>
      </c>
      <c r="Q100" s="126">
        <f t="shared" si="9"/>
        <v>952380.95238095243</v>
      </c>
      <c r="R100" s="126">
        <f t="shared" si="10"/>
        <v>37619.047619047575</v>
      </c>
      <c r="S100" s="29"/>
      <c r="T100" s="126">
        <f t="shared" si="11"/>
        <v>6666666.6666666772</v>
      </c>
      <c r="U100" s="126">
        <f t="shared" si="12"/>
        <v>24970000</v>
      </c>
    </row>
    <row r="101" spans="2:21" x14ac:dyDescent="0.25">
      <c r="B101" s="95">
        <v>7</v>
      </c>
      <c r="C101" s="56">
        <f>C42</f>
        <v>44602</v>
      </c>
      <c r="D101" s="50">
        <f>D42</f>
        <v>1800000</v>
      </c>
      <c r="E101" s="50">
        <f>E42</f>
        <v>300000</v>
      </c>
      <c r="F101" s="50">
        <f>F42</f>
        <v>1500000</v>
      </c>
      <c r="G101" s="49">
        <f t="shared" si="13"/>
        <v>130746.97515313372</v>
      </c>
      <c r="H101" s="92">
        <f t="shared" si="14"/>
        <v>7677683.1275568623</v>
      </c>
      <c r="I101" s="213"/>
      <c r="J101" s="191"/>
      <c r="L101" s="123" t="str">
        <f t="shared" si="4"/>
        <v>Выкуп</v>
      </c>
      <c r="M101" s="124">
        <f t="shared" si="7"/>
        <v>44867</v>
      </c>
      <c r="N101" s="125">
        <f t="shared" si="5"/>
        <v>240000</v>
      </c>
      <c r="O101" s="125">
        <f t="shared" si="8"/>
        <v>40000</v>
      </c>
      <c r="P101" s="125">
        <f t="shared" si="6"/>
        <v>200000</v>
      </c>
      <c r="Q101" s="235"/>
      <c r="R101" s="235"/>
      <c r="S101" s="235">
        <v>200000</v>
      </c>
      <c r="T101" s="126">
        <f t="shared" si="11"/>
        <v>6666666.6666666772</v>
      </c>
      <c r="U101" s="126">
        <f t="shared" si="12"/>
        <v>24970000</v>
      </c>
    </row>
    <row r="102" spans="2:21" x14ac:dyDescent="0.25">
      <c r="B102" s="95"/>
      <c r="C102" s="56">
        <v>44620</v>
      </c>
      <c r="D102" s="50"/>
      <c r="E102" s="50"/>
      <c r="F102" s="50"/>
      <c r="G102" s="49">
        <f t="shared" si="13"/>
        <v>200878.64611821662</v>
      </c>
      <c r="H102" s="92">
        <f t="shared" si="14"/>
        <v>7878561.7736750785</v>
      </c>
      <c r="I102" s="214">
        <f>$I$90*B101</f>
        <v>9333333.3333333321</v>
      </c>
      <c r="J102" s="192">
        <f>$F$79-I102</f>
        <v>10666666.666666668</v>
      </c>
    </row>
    <row r="103" spans="2:21" x14ac:dyDescent="0.25">
      <c r="B103" s="95">
        <v>8</v>
      </c>
      <c r="C103" s="56">
        <f>C43</f>
        <v>44630</v>
      </c>
      <c r="D103" s="50">
        <f>D43</f>
        <v>1800000</v>
      </c>
      <c r="E103" s="50">
        <f>E43</f>
        <v>300000</v>
      </c>
      <c r="F103" s="50">
        <f>F43</f>
        <v>1500000</v>
      </c>
      <c r="G103" s="49">
        <f t="shared" si="13"/>
        <v>113861.54418603168</v>
      </c>
      <c r="H103" s="92">
        <f t="shared" si="14"/>
        <v>6492423.31786111</v>
      </c>
      <c r="I103" s="213"/>
      <c r="J103" s="191"/>
    </row>
    <row r="104" spans="2:21" x14ac:dyDescent="0.25">
      <c r="B104" s="95"/>
      <c r="C104" s="56">
        <v>44651</v>
      </c>
      <c r="D104" s="50"/>
      <c r="E104" s="50"/>
      <c r="F104" s="50"/>
      <c r="G104" s="49">
        <f t="shared" si="13"/>
        <v>198607.79788396216</v>
      </c>
      <c r="H104" s="92">
        <f t="shared" si="14"/>
        <v>6691031.1157450723</v>
      </c>
      <c r="I104" s="214">
        <f>$I$90*B103</f>
        <v>10666666.666666666</v>
      </c>
      <c r="J104" s="192">
        <f>$F$79-I104</f>
        <v>9333333.333333334</v>
      </c>
    </row>
    <row r="105" spans="2:21" x14ac:dyDescent="0.25">
      <c r="B105" s="95">
        <v>9</v>
      </c>
      <c r="C105" s="56">
        <f>C44</f>
        <v>44661</v>
      </c>
      <c r="D105" s="50">
        <f>D44</f>
        <v>1800000</v>
      </c>
      <c r="E105" s="50">
        <f>E44</f>
        <v>300000</v>
      </c>
      <c r="F105" s="50">
        <f>F44</f>
        <v>1500000</v>
      </c>
      <c r="G105" s="49">
        <f t="shared" si="13"/>
        <v>96699.265287367671</v>
      </c>
      <c r="H105" s="92">
        <f t="shared" si="14"/>
        <v>5287730.3810324399</v>
      </c>
      <c r="I105" s="213"/>
      <c r="J105" s="191"/>
    </row>
    <row r="106" spans="2:21" x14ac:dyDescent="0.25">
      <c r="B106" s="95"/>
      <c r="C106" s="56">
        <v>44681</v>
      </c>
      <c r="D106" s="50"/>
      <c r="E106" s="50"/>
      <c r="F106" s="50"/>
      <c r="G106" s="49">
        <f t="shared" si="13"/>
        <v>153941.73130931336</v>
      </c>
      <c r="H106" s="92">
        <f t="shared" si="14"/>
        <v>5441672.1123417532</v>
      </c>
      <c r="I106" s="214">
        <f>$I$90*B105</f>
        <v>12000000</v>
      </c>
      <c r="J106" s="192">
        <f>$F$79-I106</f>
        <v>8000000</v>
      </c>
    </row>
    <row r="107" spans="2:21" x14ac:dyDescent="0.25">
      <c r="B107" s="95">
        <v>10</v>
      </c>
      <c r="C107" s="56">
        <f>C45</f>
        <v>44691</v>
      </c>
      <c r="D107" s="50">
        <f>D45</f>
        <v>1200000</v>
      </c>
      <c r="E107" s="50">
        <f>E45</f>
        <v>200000</v>
      </c>
      <c r="F107" s="50">
        <f>F45</f>
        <v>1000000</v>
      </c>
      <c r="G107" s="49">
        <f t="shared" si="13"/>
        <v>78643.438671202559</v>
      </c>
      <c r="H107" s="92">
        <f t="shared" si="14"/>
        <v>4520315.5510129556</v>
      </c>
      <c r="I107" s="213"/>
      <c r="J107" s="191"/>
    </row>
    <row r="108" spans="2:21" x14ac:dyDescent="0.25">
      <c r="B108" s="95"/>
      <c r="C108" s="56">
        <v>44712</v>
      </c>
      <c r="D108" s="50"/>
      <c r="E108" s="50"/>
      <c r="F108" s="50"/>
      <c r="G108" s="49">
        <f t="shared" si="13"/>
        <v>138279.63356263054</v>
      </c>
      <c r="H108" s="92">
        <f t="shared" si="14"/>
        <v>4658595.1845755866</v>
      </c>
      <c r="I108" s="214">
        <f>$I$90*B107</f>
        <v>13333333.333333332</v>
      </c>
      <c r="J108" s="192">
        <f>$F$79-I108</f>
        <v>6666666.6666666679</v>
      </c>
    </row>
    <row r="109" spans="2:21" x14ac:dyDescent="0.25">
      <c r="B109" s="95">
        <v>11</v>
      </c>
      <c r="C109" s="56">
        <f>C46</f>
        <v>44722</v>
      </c>
      <c r="D109" s="50">
        <f>D46</f>
        <v>1200000</v>
      </c>
      <c r="E109" s="50">
        <f>E46</f>
        <v>200000</v>
      </c>
      <c r="F109" s="50">
        <f>F46</f>
        <v>1000000</v>
      </c>
      <c r="G109" s="49">
        <f t="shared" si="13"/>
        <v>67326.354313264193</v>
      </c>
      <c r="H109" s="92">
        <f t="shared" si="14"/>
        <v>3725921.5388888512</v>
      </c>
      <c r="I109" s="213"/>
      <c r="J109" s="191"/>
    </row>
    <row r="110" spans="2:21" x14ac:dyDescent="0.25">
      <c r="B110" s="95"/>
      <c r="C110" s="56">
        <v>44742</v>
      </c>
      <c r="D110" s="50"/>
      <c r="E110" s="50"/>
      <c r="F110" s="50"/>
      <c r="G110" s="49">
        <f t="shared" si="13"/>
        <v>108472.77964033015</v>
      </c>
      <c r="H110" s="92">
        <f t="shared" si="14"/>
        <v>3834394.3185291812</v>
      </c>
      <c r="I110" s="214">
        <f>$I$90*B109</f>
        <v>14666666.666666666</v>
      </c>
      <c r="J110" s="192">
        <f>$F$79-I110</f>
        <v>5333333.333333334</v>
      </c>
    </row>
    <row r="111" spans="2:21" x14ac:dyDescent="0.25">
      <c r="B111" s="95">
        <v>12</v>
      </c>
      <c r="C111" s="56">
        <f>C47</f>
        <v>44752</v>
      </c>
      <c r="D111" s="50">
        <f>D47</f>
        <v>1200000</v>
      </c>
      <c r="E111" s="50">
        <f>E47</f>
        <v>200000</v>
      </c>
      <c r="F111" s="50">
        <f>F47</f>
        <v>1000000</v>
      </c>
      <c r="G111" s="49">
        <f t="shared" si="13"/>
        <v>55414.943827015893</v>
      </c>
      <c r="H111" s="92">
        <f t="shared" si="14"/>
        <v>2889809.262356197</v>
      </c>
      <c r="I111" s="213"/>
      <c r="J111" s="191"/>
    </row>
    <row r="112" spans="2:21" x14ac:dyDescent="0.25">
      <c r="B112" s="95"/>
      <c r="C112" s="56">
        <v>44773</v>
      </c>
      <c r="D112" s="50"/>
      <c r="E112" s="50"/>
      <c r="F112" s="50"/>
      <c r="G112" s="49">
        <f t="shared" si="13"/>
        <v>88401.298837415001</v>
      </c>
      <c r="H112" s="92">
        <f t="shared" si="14"/>
        <v>2978210.5611936119</v>
      </c>
      <c r="I112" s="214">
        <f>$I$90*B111</f>
        <v>16000000</v>
      </c>
      <c r="J112" s="192">
        <f>$F$79-I112</f>
        <v>4000000</v>
      </c>
    </row>
    <row r="113" spans="1:21" x14ac:dyDescent="0.25">
      <c r="B113" s="95">
        <v>13</v>
      </c>
      <c r="C113" s="56">
        <f>C48</f>
        <v>44783</v>
      </c>
      <c r="D113" s="50">
        <f>D48</f>
        <v>1188000</v>
      </c>
      <c r="E113" s="50">
        <f>E48</f>
        <v>198000</v>
      </c>
      <c r="F113" s="50">
        <f>F48</f>
        <v>990000</v>
      </c>
      <c r="G113" s="49">
        <f t="shared" si="13"/>
        <v>43041.314284253232</v>
      </c>
      <c r="H113" s="92">
        <f t="shared" si="14"/>
        <v>2031251.8754778653</v>
      </c>
      <c r="I113" s="213"/>
      <c r="J113" s="191"/>
    </row>
    <row r="114" spans="1:21" x14ac:dyDescent="0.25">
      <c r="B114" s="95"/>
      <c r="C114" s="56">
        <v>44804</v>
      </c>
      <c r="D114" s="50"/>
      <c r="E114" s="50"/>
      <c r="F114" s="50"/>
      <c r="G114" s="49">
        <f t="shared" si="13"/>
        <v>62137.424222860456</v>
      </c>
      <c r="H114" s="92">
        <f t="shared" si="14"/>
        <v>2093389.2997007258</v>
      </c>
      <c r="I114" s="214">
        <f>$I$90*B113</f>
        <v>17333333.333333332</v>
      </c>
      <c r="J114" s="192">
        <f>$F$79-I114</f>
        <v>2666666.6666666679</v>
      </c>
    </row>
    <row r="115" spans="1:21" x14ac:dyDescent="0.25">
      <c r="B115" s="95">
        <v>14</v>
      </c>
      <c r="C115" s="56">
        <f>C49</f>
        <v>44814</v>
      </c>
      <c r="D115" s="50">
        <f>D49</f>
        <v>1188000</v>
      </c>
      <c r="E115" s="50">
        <f>E49</f>
        <v>198000</v>
      </c>
      <c r="F115" s="50">
        <f>F49</f>
        <v>990000</v>
      </c>
      <c r="G115" s="49">
        <f t="shared" si="13"/>
        <v>30253.813461597696</v>
      </c>
      <c r="H115" s="92">
        <f t="shared" si="14"/>
        <v>1133643.1131623234</v>
      </c>
      <c r="I115" s="213"/>
      <c r="J115" s="191"/>
    </row>
    <row r="116" spans="1:21" x14ac:dyDescent="0.25">
      <c r="B116" s="95"/>
      <c r="C116" s="56">
        <v>44834</v>
      </c>
      <c r="D116" s="50"/>
      <c r="E116" s="50"/>
      <c r="F116" s="50"/>
      <c r="G116" s="49">
        <f t="shared" si="13"/>
        <v>33003.759827295413</v>
      </c>
      <c r="H116" s="92">
        <f t="shared" si="14"/>
        <v>1166646.8729896187</v>
      </c>
      <c r="I116" s="214">
        <f>$I$90*B115</f>
        <v>18666666.666666664</v>
      </c>
      <c r="J116" s="192">
        <f>$F$79-I116</f>
        <v>1333333.3333333358</v>
      </c>
    </row>
    <row r="117" spans="1:21" x14ac:dyDescent="0.25">
      <c r="B117" s="95">
        <v>15</v>
      </c>
      <c r="C117" s="56">
        <f>C50</f>
        <v>44844</v>
      </c>
      <c r="D117" s="50">
        <f>D50</f>
        <v>1188000</v>
      </c>
      <c r="E117" s="50">
        <f>E50</f>
        <v>198000</v>
      </c>
      <c r="F117" s="50">
        <f>F50</f>
        <v>990000</v>
      </c>
      <c r="G117" s="49">
        <f t="shared" si="13"/>
        <v>16860.464929303922</v>
      </c>
      <c r="H117" s="92">
        <f t="shared" si="14"/>
        <v>193507.33791892254</v>
      </c>
      <c r="I117" s="213"/>
      <c r="J117" s="191"/>
    </row>
    <row r="118" spans="1:21" x14ac:dyDescent="0.25">
      <c r="B118" s="95"/>
      <c r="C118" s="56">
        <v>44865</v>
      </c>
      <c r="D118" s="50"/>
      <c r="E118" s="50"/>
      <c r="F118" s="50"/>
      <c r="G118" s="49">
        <f t="shared" si="13"/>
        <v>5919.5256342474831</v>
      </c>
      <c r="H118" s="92">
        <f t="shared" si="14"/>
        <v>199426.86355317003</v>
      </c>
      <c r="I118" s="213"/>
      <c r="J118" s="191"/>
    </row>
    <row r="119" spans="1:21" ht="15.75" thickBot="1" x14ac:dyDescent="0.3">
      <c r="B119" s="97" t="s">
        <v>24</v>
      </c>
      <c r="C119" s="98">
        <f>C51</f>
        <v>44867</v>
      </c>
      <c r="D119" s="99">
        <f>D51</f>
        <v>240000</v>
      </c>
      <c r="E119" s="99">
        <f>E51</f>
        <v>40000</v>
      </c>
      <c r="F119" s="99">
        <f>F51</f>
        <v>200000</v>
      </c>
      <c r="G119" s="100">
        <f t="shared" si="13"/>
        <v>573.12267279178752</v>
      </c>
      <c r="H119" s="101">
        <f t="shared" si="14"/>
        <v>-1.3774038176052272E-2</v>
      </c>
      <c r="I119" s="214">
        <f>$I$90*B118</f>
        <v>0</v>
      </c>
      <c r="J119" s="192">
        <f>$F$79-I119</f>
        <v>20000000</v>
      </c>
    </row>
    <row r="121" spans="1:21" s="75" customFormat="1" ht="24.75" customHeight="1" x14ac:dyDescent="0.25">
      <c r="A121" s="74"/>
      <c r="B121" s="283" t="s">
        <v>113</v>
      </c>
      <c r="C121" s="283"/>
      <c r="D121" s="74"/>
      <c r="E121" s="74"/>
      <c r="F121" s="74"/>
      <c r="G121" s="74"/>
      <c r="H121" s="74"/>
    </row>
    <row r="122" spans="1:21" s="104" customFormat="1" ht="24.75" customHeight="1" x14ac:dyDescent="0.25">
      <c r="A122" s="102"/>
      <c r="B122" s="103"/>
      <c r="C122" s="103" t="s">
        <v>114</v>
      </c>
      <c r="D122" s="102"/>
      <c r="E122" s="102"/>
      <c r="F122" s="102"/>
      <c r="G122" s="102"/>
      <c r="H122" s="102"/>
    </row>
    <row r="123" spans="1:21" x14ac:dyDescent="0.25">
      <c r="A123" s="73"/>
      <c r="B123" s="1"/>
      <c r="C123" s="1"/>
      <c r="D123" s="73"/>
      <c r="E123" s="73"/>
      <c r="F123" s="73"/>
      <c r="G123" s="73"/>
      <c r="H123" s="73"/>
      <c r="I123" s="15" t="s">
        <v>237</v>
      </c>
    </row>
    <row r="124" spans="1:21" ht="14.45" customHeight="1" x14ac:dyDescent="0.25">
      <c r="A124" s="73"/>
      <c r="B124" s="289" t="s">
        <v>18</v>
      </c>
      <c r="C124" s="289" t="s">
        <v>94</v>
      </c>
      <c r="D124" s="290" t="s">
        <v>31</v>
      </c>
      <c r="E124" s="290"/>
      <c r="F124" s="290"/>
      <c r="G124" s="277" t="s">
        <v>32</v>
      </c>
      <c r="H124" s="277"/>
      <c r="I124" s="277"/>
      <c r="J124" s="277"/>
      <c r="Q124" s="15" t="s">
        <v>238</v>
      </c>
    </row>
    <row r="125" spans="1:21" ht="30" x14ac:dyDescent="0.25">
      <c r="A125" s="73"/>
      <c r="B125" s="289"/>
      <c r="C125" s="289"/>
      <c r="D125" s="195" t="s">
        <v>33</v>
      </c>
      <c r="E125" s="195" t="s">
        <v>34</v>
      </c>
      <c r="F125" s="195" t="s">
        <v>35</v>
      </c>
      <c r="G125" s="194" t="s">
        <v>33</v>
      </c>
      <c r="H125" s="194" t="s">
        <v>34</v>
      </c>
      <c r="I125" s="194" t="s">
        <v>35</v>
      </c>
      <c r="J125" s="128" t="s">
        <v>95</v>
      </c>
      <c r="L125" s="276" t="s">
        <v>172</v>
      </c>
      <c r="M125" s="276"/>
      <c r="N125" s="276"/>
      <c r="O125" s="276"/>
      <c r="P125" s="276"/>
      <c r="Q125" s="277" t="s">
        <v>173</v>
      </c>
      <c r="R125" s="277"/>
      <c r="S125" s="277"/>
      <c r="T125" s="277"/>
      <c r="U125" s="277"/>
    </row>
    <row r="126" spans="1:21" ht="57" customHeight="1" x14ac:dyDescent="0.25">
      <c r="A126" s="73"/>
      <c r="B126" s="62"/>
      <c r="C126" s="8" t="s">
        <v>37</v>
      </c>
      <c r="D126" s="64"/>
      <c r="E126" s="64"/>
      <c r="F126" s="65"/>
      <c r="G126" s="66"/>
      <c r="H126" s="66"/>
      <c r="I126" s="66"/>
      <c r="J126" s="7"/>
      <c r="L126" s="167" t="s">
        <v>168</v>
      </c>
      <c r="M126" s="167" t="s">
        <v>193</v>
      </c>
      <c r="N126" s="167" t="s">
        <v>166</v>
      </c>
      <c r="O126" s="167" t="s">
        <v>167</v>
      </c>
      <c r="P126" s="167" t="s">
        <v>194</v>
      </c>
      <c r="Q126" s="168" t="s">
        <v>168</v>
      </c>
      <c r="R126" s="168" t="s">
        <v>193</v>
      </c>
      <c r="S126" s="168" t="s">
        <v>166</v>
      </c>
      <c r="T126" s="168" t="s">
        <v>167</v>
      </c>
      <c r="U126" s="168" t="s">
        <v>194</v>
      </c>
    </row>
    <row r="127" spans="1:21" ht="45" x14ac:dyDescent="0.25">
      <c r="A127" s="73"/>
      <c r="B127" s="129">
        <f>C27</f>
        <v>44411</v>
      </c>
      <c r="C127" s="108" t="s">
        <v>134</v>
      </c>
      <c r="D127" s="109" t="s">
        <v>38</v>
      </c>
      <c r="E127" s="109" t="s">
        <v>115</v>
      </c>
      <c r="F127" s="110">
        <v>0</v>
      </c>
      <c r="G127" s="132"/>
      <c r="H127" s="132"/>
      <c r="I127" s="131"/>
      <c r="J127" s="134"/>
      <c r="L127" s="162" t="s">
        <v>40</v>
      </c>
      <c r="M127" s="163"/>
      <c r="N127" s="118">
        <f>F133</f>
        <v>20000000</v>
      </c>
      <c r="O127" s="118"/>
      <c r="P127" s="118">
        <f>M127+N127-O127</f>
        <v>20000000</v>
      </c>
      <c r="Q127" s="164" t="s">
        <v>40</v>
      </c>
      <c r="R127" s="164"/>
      <c r="S127" s="49">
        <f>I134</f>
        <v>20000000</v>
      </c>
      <c r="T127" s="49"/>
      <c r="U127" s="165">
        <f>R127+S127-T127</f>
        <v>20000000</v>
      </c>
    </row>
    <row r="128" spans="1:21" x14ac:dyDescent="0.25">
      <c r="A128" s="73"/>
      <c r="B128" s="108"/>
      <c r="C128" s="111" t="s">
        <v>117</v>
      </c>
      <c r="D128" s="109"/>
      <c r="E128" s="109"/>
      <c r="F128" s="110"/>
      <c r="G128" s="130"/>
      <c r="H128" s="130"/>
      <c r="I128" s="131"/>
      <c r="J128" s="131"/>
      <c r="L128" s="162" t="s">
        <v>243</v>
      </c>
      <c r="M128" s="163">
        <v>2400000</v>
      </c>
      <c r="N128" s="118"/>
      <c r="O128" s="118">
        <f>F130+F131</f>
        <v>2400000</v>
      </c>
      <c r="P128" s="118">
        <f>M128+N128-O128</f>
        <v>0</v>
      </c>
      <c r="Q128" s="173" t="s">
        <v>124</v>
      </c>
      <c r="R128" s="165">
        <f>M128</f>
        <v>2400000</v>
      </c>
      <c r="S128" s="49"/>
      <c r="T128" s="49"/>
      <c r="U128" s="165">
        <f>R128+S128-T128</f>
        <v>2400000</v>
      </c>
    </row>
    <row r="129" spans="1:28" ht="45" x14ac:dyDescent="0.25">
      <c r="A129" s="73"/>
      <c r="B129" s="67">
        <f>C56</f>
        <v>44411</v>
      </c>
      <c r="C129" s="68" t="s">
        <v>116</v>
      </c>
      <c r="D129" s="69" t="s">
        <v>38</v>
      </c>
      <c r="E129" s="64" t="s">
        <v>150</v>
      </c>
      <c r="F129" s="70">
        <f>H88</f>
        <v>18000000</v>
      </c>
      <c r="G129" s="130"/>
      <c r="H129" s="130"/>
      <c r="I129" s="131"/>
      <c r="J129" s="131"/>
      <c r="L129" s="119" t="s">
        <v>170</v>
      </c>
      <c r="M129" s="119"/>
      <c r="N129" s="119"/>
      <c r="O129" s="118">
        <f>F129</f>
        <v>18000000</v>
      </c>
      <c r="P129" s="118">
        <f>M129+N129-O129</f>
        <v>-18000000</v>
      </c>
      <c r="Q129" s="131" t="s">
        <v>133</v>
      </c>
      <c r="R129" s="131"/>
      <c r="S129" s="131"/>
      <c r="T129" s="133">
        <f>I133+I135</f>
        <v>31636666.666666675</v>
      </c>
      <c r="U129" s="165">
        <f>R129+S129-T129</f>
        <v>-31636666.666666675</v>
      </c>
    </row>
    <row r="130" spans="1:28" ht="45" x14ac:dyDescent="0.25">
      <c r="A130" s="73"/>
      <c r="B130" s="67">
        <f>B129</f>
        <v>44411</v>
      </c>
      <c r="C130" s="108" t="s">
        <v>119</v>
      </c>
      <c r="D130" s="109" t="s">
        <v>38</v>
      </c>
      <c r="E130" s="109" t="str">
        <f>C68</f>
        <v>60</v>
      </c>
      <c r="F130" s="112">
        <f>E68/1.2</f>
        <v>2000000</v>
      </c>
      <c r="G130" s="130"/>
      <c r="H130" s="130"/>
      <c r="I130" s="131"/>
      <c r="J130" s="131"/>
      <c r="L130" s="119" t="s">
        <v>44</v>
      </c>
      <c r="M130" s="119"/>
      <c r="N130" s="118">
        <f>F131</f>
        <v>400000</v>
      </c>
      <c r="O130" s="119"/>
      <c r="P130" s="118">
        <f>M130+N130-O130</f>
        <v>400000</v>
      </c>
      <c r="Q130" s="131"/>
      <c r="R130" s="131"/>
      <c r="S130" s="131"/>
      <c r="T130" s="131"/>
      <c r="U130" s="165"/>
    </row>
    <row r="131" spans="1:28" s="143" customFormat="1" x14ac:dyDescent="0.25">
      <c r="A131" s="142"/>
      <c r="B131" s="219">
        <f>B130</f>
        <v>44411</v>
      </c>
      <c r="C131" s="117" t="s">
        <v>222</v>
      </c>
      <c r="D131" s="169" t="s">
        <v>44</v>
      </c>
      <c r="E131" s="169" t="s">
        <v>52</v>
      </c>
      <c r="F131" s="170">
        <f>F130*0.2</f>
        <v>400000</v>
      </c>
      <c r="G131" s="130"/>
      <c r="H131" s="130"/>
      <c r="I131" s="131"/>
      <c r="J131" s="131"/>
      <c r="K131" s="156"/>
      <c r="L131" s="162"/>
      <c r="M131" s="163"/>
      <c r="N131" s="118"/>
      <c r="O131" s="118"/>
      <c r="P131" s="118">
        <f>M131+N131-O131</f>
        <v>0</v>
      </c>
      <c r="Q131" s="164" t="s">
        <v>132</v>
      </c>
      <c r="R131" s="165"/>
      <c r="S131" s="49">
        <f>I135</f>
        <v>11636666.666666675</v>
      </c>
      <c r="T131" s="49"/>
      <c r="U131" s="165">
        <f>R131+S131-T131</f>
        <v>11636666.666666675</v>
      </c>
      <c r="V131" s="156"/>
      <c r="W131" s="156"/>
      <c r="X131" s="156"/>
      <c r="Y131" s="156"/>
      <c r="Z131" s="156"/>
      <c r="AA131" s="156"/>
      <c r="AB131" s="156"/>
    </row>
    <row r="132" spans="1:28" ht="60" x14ac:dyDescent="0.25">
      <c r="A132" s="73"/>
      <c r="B132" s="67">
        <f>B130</f>
        <v>44411</v>
      </c>
      <c r="C132" s="108" t="s">
        <v>120</v>
      </c>
      <c r="D132" s="109" t="s">
        <v>38</v>
      </c>
      <c r="E132" s="113" t="s">
        <v>128</v>
      </c>
      <c r="F132" s="110">
        <v>0</v>
      </c>
      <c r="G132" s="130"/>
      <c r="H132" s="130"/>
      <c r="I132" s="131"/>
      <c r="J132" s="131"/>
      <c r="L132" s="166" t="s">
        <v>169</v>
      </c>
      <c r="M132" s="118">
        <f>SUM(M127:M131)</f>
        <v>2400000</v>
      </c>
      <c r="N132" s="118">
        <f>SUM(N127:N131)</f>
        <v>20400000</v>
      </c>
      <c r="O132" s="118">
        <f>SUM(O127:O131)</f>
        <v>20400000</v>
      </c>
      <c r="P132" s="118">
        <f>SUM(P127:P131)</f>
        <v>2400000</v>
      </c>
      <c r="Q132" s="164" t="s">
        <v>169</v>
      </c>
      <c r="R132" s="133">
        <f>SUM(R127:R131)</f>
        <v>2400000</v>
      </c>
      <c r="S132" s="133">
        <f>SUM(S127:S131)</f>
        <v>31636666.666666675</v>
      </c>
      <c r="T132" s="133">
        <f>SUM(T127:T131)</f>
        <v>31636666.666666675</v>
      </c>
      <c r="U132" s="133">
        <f>SUM(U127:U131)</f>
        <v>2400000</v>
      </c>
    </row>
    <row r="133" spans="1:28" ht="29.1" customHeight="1" x14ac:dyDescent="0.25">
      <c r="A133" s="73"/>
      <c r="B133" s="67">
        <f>B132</f>
        <v>44411</v>
      </c>
      <c r="C133" s="108" t="s">
        <v>126</v>
      </c>
      <c r="D133" s="109" t="s">
        <v>127</v>
      </c>
      <c r="E133" s="109" t="s">
        <v>38</v>
      </c>
      <c r="F133" s="112">
        <v>20000000</v>
      </c>
      <c r="G133" s="132" t="s">
        <v>129</v>
      </c>
      <c r="H133" s="130" t="s">
        <v>130</v>
      </c>
      <c r="I133" s="133">
        <v>20000000</v>
      </c>
      <c r="J133" s="282" t="s">
        <v>123</v>
      </c>
    </row>
    <row r="134" spans="1:28" x14ac:dyDescent="0.25">
      <c r="A134" s="73"/>
      <c r="B134" s="67">
        <f>B133</f>
        <v>44411</v>
      </c>
      <c r="C134" s="108"/>
      <c r="D134" s="109"/>
      <c r="E134" s="109"/>
      <c r="F134" s="110"/>
      <c r="G134" s="132" t="s">
        <v>131</v>
      </c>
      <c r="H134" s="132" t="s">
        <v>129</v>
      </c>
      <c r="I134" s="133">
        <v>20000000</v>
      </c>
      <c r="J134" s="282"/>
      <c r="L134" s="157"/>
      <c r="M134" s="158"/>
      <c r="N134" s="159"/>
      <c r="O134" s="159"/>
      <c r="P134" s="160"/>
      <c r="Q134" s="154"/>
      <c r="R134" s="158"/>
      <c r="S134" s="159"/>
      <c r="T134" s="159"/>
      <c r="U134" s="161"/>
    </row>
    <row r="135" spans="1:28" ht="165" x14ac:dyDescent="0.25">
      <c r="A135" s="73"/>
      <c r="B135" s="67">
        <f>B134</f>
        <v>44411</v>
      </c>
      <c r="C135" s="108"/>
      <c r="D135" s="109"/>
      <c r="E135" s="109"/>
      <c r="F135" s="110"/>
      <c r="G135" s="132" t="s">
        <v>132</v>
      </c>
      <c r="H135" s="130" t="s">
        <v>133</v>
      </c>
      <c r="I135" s="133">
        <f>R85</f>
        <v>11636666.666666675</v>
      </c>
      <c r="J135" s="134" t="s">
        <v>223</v>
      </c>
    </row>
    <row r="136" spans="1:28" x14ac:dyDescent="0.25">
      <c r="A136" s="73"/>
      <c r="B136" s="15"/>
      <c r="C136" s="107" t="s">
        <v>118</v>
      </c>
      <c r="D136" s="73"/>
      <c r="E136" s="73"/>
      <c r="F136" s="73"/>
      <c r="G136" s="73"/>
      <c r="H136" s="73"/>
    </row>
    <row r="137" spans="1:28" ht="81.95" customHeight="1" x14ac:dyDescent="0.25">
      <c r="A137" s="73"/>
      <c r="B137" s="15"/>
      <c r="C137" s="1" t="s">
        <v>145</v>
      </c>
      <c r="D137" s="73"/>
      <c r="E137" s="73"/>
      <c r="F137" s="73"/>
      <c r="G137" s="73"/>
      <c r="H137" s="73"/>
    </row>
    <row r="138" spans="1:28" ht="75" x14ac:dyDescent="0.25">
      <c r="A138" s="73"/>
      <c r="B138" s="1"/>
      <c r="C138" s="1" t="s">
        <v>121</v>
      </c>
      <c r="D138" s="73"/>
      <c r="E138" s="73"/>
      <c r="F138" s="73"/>
      <c r="G138" s="73"/>
      <c r="H138" s="73"/>
    </row>
    <row r="139" spans="1:28" ht="75" x14ac:dyDescent="0.25">
      <c r="A139" s="73"/>
      <c r="B139" s="1"/>
      <c r="C139" s="1" t="s">
        <v>122</v>
      </c>
      <c r="D139" s="73"/>
      <c r="E139" s="73"/>
      <c r="F139" s="73"/>
      <c r="G139" s="73"/>
      <c r="H139" s="73"/>
    </row>
    <row r="140" spans="1:28" x14ac:dyDescent="0.25">
      <c r="A140" s="73"/>
      <c r="B140" s="1"/>
      <c r="C140" s="1"/>
      <c r="D140" s="73"/>
      <c r="E140" s="73"/>
      <c r="F140" s="73"/>
      <c r="G140" s="73"/>
      <c r="H140" s="73"/>
    </row>
    <row r="141" spans="1:28" x14ac:dyDescent="0.25">
      <c r="A141" s="73"/>
      <c r="B141" s="1"/>
      <c r="C141" s="1"/>
      <c r="D141" s="73"/>
      <c r="E141" s="73"/>
      <c r="F141" s="73"/>
      <c r="G141" s="73"/>
      <c r="H141" s="73"/>
    </row>
    <row r="142" spans="1:28" s="136" customFormat="1" ht="42" customHeight="1" x14ac:dyDescent="0.25">
      <c r="A142" s="135"/>
      <c r="B142" s="283" t="s">
        <v>146</v>
      </c>
      <c r="C142" s="283"/>
      <c r="D142" s="135"/>
      <c r="E142" s="135"/>
      <c r="F142" s="135"/>
      <c r="G142" s="135"/>
      <c r="H142" s="135"/>
    </row>
    <row r="143" spans="1:28" x14ac:dyDescent="0.25">
      <c r="A143" s="73"/>
      <c r="B143" s="1"/>
      <c r="C143" s="1"/>
      <c r="D143" s="73"/>
      <c r="E143" s="73"/>
      <c r="F143" s="73"/>
      <c r="G143" s="73"/>
      <c r="H143" s="73"/>
    </row>
    <row r="144" spans="1:28" ht="42" customHeight="1" x14ac:dyDescent="0.25">
      <c r="A144" s="73"/>
      <c r="B144" s="103"/>
      <c r="C144" s="284" t="s">
        <v>197</v>
      </c>
      <c r="D144" s="284"/>
      <c r="E144" s="102"/>
      <c r="F144" s="102"/>
      <c r="G144" s="102"/>
      <c r="H144" s="102"/>
      <c r="I144" s="104"/>
      <c r="J144" s="104"/>
    </row>
    <row r="145" spans="1:28" x14ac:dyDescent="0.25">
      <c r="A145" s="73"/>
      <c r="B145" s="1"/>
      <c r="C145" s="1"/>
      <c r="D145" s="73"/>
      <c r="E145" s="73"/>
      <c r="F145" s="73"/>
      <c r="G145" s="73"/>
      <c r="H145" s="73"/>
      <c r="I145" s="15" t="s">
        <v>239</v>
      </c>
      <c r="S145" s="15" t="s">
        <v>240</v>
      </c>
    </row>
    <row r="146" spans="1:28" x14ac:dyDescent="0.25">
      <c r="A146" s="73"/>
      <c r="B146" s="285" t="s">
        <v>18</v>
      </c>
      <c r="C146" s="286" t="s">
        <v>94</v>
      </c>
      <c r="D146" s="287" t="s">
        <v>31</v>
      </c>
      <c r="E146" s="287"/>
      <c r="F146" s="287"/>
      <c r="G146" s="279" t="s">
        <v>32</v>
      </c>
      <c r="H146" s="279"/>
      <c r="I146" s="279"/>
      <c r="J146" s="279"/>
      <c r="L146" s="278" t="s">
        <v>172</v>
      </c>
      <c r="M146" s="278"/>
      <c r="N146" s="278"/>
      <c r="O146" s="278"/>
      <c r="P146" s="278"/>
      <c r="Q146" s="279" t="s">
        <v>173</v>
      </c>
      <c r="R146" s="279"/>
      <c r="S146" s="279"/>
      <c r="T146" s="279"/>
      <c r="U146" s="279"/>
    </row>
    <row r="147" spans="1:28" ht="30" x14ac:dyDescent="0.25">
      <c r="A147" s="73"/>
      <c r="B147" s="285"/>
      <c r="C147" s="286"/>
      <c r="D147" s="236" t="s">
        <v>33</v>
      </c>
      <c r="E147" s="236" t="s">
        <v>34</v>
      </c>
      <c r="F147" s="236" t="s">
        <v>35</v>
      </c>
      <c r="G147" s="237" t="s">
        <v>33</v>
      </c>
      <c r="H147" s="237" t="s">
        <v>34</v>
      </c>
      <c r="I147" s="237" t="s">
        <v>35</v>
      </c>
      <c r="J147" s="266" t="s">
        <v>95</v>
      </c>
      <c r="L147" s="267" t="s">
        <v>168</v>
      </c>
      <c r="M147" s="267" t="s">
        <v>195</v>
      </c>
      <c r="N147" s="267" t="s">
        <v>33</v>
      </c>
      <c r="O147" s="267" t="s">
        <v>34</v>
      </c>
      <c r="P147" s="267" t="s">
        <v>198</v>
      </c>
      <c r="Q147" s="268" t="s">
        <v>168</v>
      </c>
      <c r="R147" s="268" t="s">
        <v>195</v>
      </c>
      <c r="S147" s="268" t="s">
        <v>33</v>
      </c>
      <c r="T147" s="168" t="s">
        <v>34</v>
      </c>
      <c r="U147" s="168" t="s">
        <v>198</v>
      </c>
    </row>
    <row r="148" spans="1:28" ht="45" x14ac:dyDescent="0.25">
      <c r="A148" s="73"/>
      <c r="B148" s="129">
        <f>C89</f>
        <v>44418</v>
      </c>
      <c r="C148" s="179" t="s">
        <v>148</v>
      </c>
      <c r="D148" s="64"/>
      <c r="E148" s="64"/>
      <c r="F148" s="65"/>
      <c r="G148" s="66"/>
      <c r="H148" s="66"/>
      <c r="I148" s="66"/>
      <c r="J148" s="72"/>
      <c r="L148" s="269" t="s">
        <v>40</v>
      </c>
      <c r="M148" s="270">
        <f>P127</f>
        <v>20000000</v>
      </c>
      <c r="N148" s="170"/>
      <c r="O148" s="170"/>
      <c r="P148" s="170">
        <f>M148+N148-O148</f>
        <v>20000000</v>
      </c>
      <c r="Q148" s="66" t="s">
        <v>131</v>
      </c>
      <c r="R148" s="72">
        <f>U127</f>
        <v>20000000</v>
      </c>
      <c r="S148" s="72"/>
      <c r="T148" s="49"/>
      <c r="U148" s="165">
        <f>R148+S148-T148</f>
        <v>20000000</v>
      </c>
      <c r="X148" s="246"/>
      <c r="Y148" s="246"/>
      <c r="Z148" s="247"/>
      <c r="AA148" s="246"/>
      <c r="AB148" s="248"/>
    </row>
    <row r="149" spans="1:28" x14ac:dyDescent="0.25">
      <c r="A149" s="73"/>
      <c r="B149" s="129">
        <f>B148</f>
        <v>44418</v>
      </c>
      <c r="C149" s="230" t="s">
        <v>41</v>
      </c>
      <c r="D149" s="169" t="s">
        <v>47</v>
      </c>
      <c r="E149" s="169" t="s">
        <v>39</v>
      </c>
      <c r="F149" s="170"/>
      <c r="G149" s="130"/>
      <c r="H149" s="130"/>
      <c r="I149" s="130"/>
      <c r="J149" s="130"/>
      <c r="L149" s="110" t="s">
        <v>46</v>
      </c>
      <c r="M149" s="110"/>
      <c r="N149" s="110"/>
      <c r="O149" s="112"/>
      <c r="P149" s="170"/>
      <c r="Q149" s="130" t="s">
        <v>156</v>
      </c>
      <c r="R149" s="130"/>
      <c r="S149" s="130"/>
      <c r="T149" s="133"/>
      <c r="U149" s="165"/>
      <c r="X149" s="246"/>
      <c r="Y149" s="249"/>
      <c r="Z149" s="246"/>
      <c r="AA149" s="246"/>
      <c r="AB149" s="250"/>
    </row>
    <row r="150" spans="1:28" x14ac:dyDescent="0.25">
      <c r="A150" s="73"/>
      <c r="B150" s="129">
        <f>B149</f>
        <v>44418</v>
      </c>
      <c r="C150" s="230" t="s">
        <v>42</v>
      </c>
      <c r="D150" s="169" t="str">
        <f>E149</f>
        <v>76Обязат</v>
      </c>
      <c r="E150" s="169" t="s">
        <v>48</v>
      </c>
      <c r="F150" s="170">
        <f>F89</f>
        <v>0</v>
      </c>
      <c r="G150" s="130"/>
      <c r="H150" s="130"/>
      <c r="I150" s="130"/>
      <c r="J150" s="130"/>
      <c r="L150" s="110">
        <v>20</v>
      </c>
      <c r="M150" s="110"/>
      <c r="N150" s="112">
        <f>F149+F153+F154</f>
        <v>737894.9262886853</v>
      </c>
      <c r="O150" s="112">
        <f>F155</f>
        <v>737894.9262886853</v>
      </c>
      <c r="P150" s="170"/>
      <c r="Q150" s="130" t="s">
        <v>155</v>
      </c>
      <c r="R150" s="130"/>
      <c r="S150" s="177">
        <f>I153+I154</f>
        <v>2000000</v>
      </c>
      <c r="T150" s="133">
        <f>I155</f>
        <v>2000000</v>
      </c>
      <c r="U150" s="165"/>
      <c r="X150" s="251"/>
      <c r="Y150" s="252"/>
      <c r="Z150" s="246"/>
      <c r="AA150" s="246"/>
      <c r="AB150" s="248"/>
    </row>
    <row r="151" spans="1:28" x14ac:dyDescent="0.25">
      <c r="A151" s="73"/>
      <c r="B151" s="129">
        <f>B150</f>
        <v>44418</v>
      </c>
      <c r="C151" s="230" t="s">
        <v>43</v>
      </c>
      <c r="D151" s="171" t="s">
        <v>44</v>
      </c>
      <c r="E151" s="171" t="s">
        <v>48</v>
      </c>
      <c r="F151" s="170">
        <f>E89</f>
        <v>0</v>
      </c>
      <c r="G151" s="130"/>
      <c r="H151" s="130"/>
      <c r="I151" s="130"/>
      <c r="J151" s="130"/>
      <c r="L151" s="110" t="s">
        <v>48</v>
      </c>
      <c r="M151" s="110"/>
      <c r="N151" s="110"/>
      <c r="O151" s="110"/>
      <c r="P151" s="110"/>
      <c r="Q151" s="130" t="s">
        <v>157</v>
      </c>
      <c r="R151" s="130"/>
      <c r="S151" s="177">
        <f>I158</f>
        <v>2400000</v>
      </c>
      <c r="T151" s="133">
        <f>I156+I157</f>
        <v>2400000</v>
      </c>
      <c r="U151" s="165"/>
      <c r="X151" s="246"/>
      <c r="Y151" s="246"/>
      <c r="Z151" s="246"/>
      <c r="AA151" s="247"/>
      <c r="AB151" s="248"/>
    </row>
    <row r="152" spans="1:28" ht="23.45" customHeight="1" x14ac:dyDescent="0.25">
      <c r="B152" s="129">
        <f>C90</f>
        <v>44439</v>
      </c>
      <c r="C152" s="176" t="s">
        <v>162</v>
      </c>
      <c r="D152" s="176"/>
      <c r="E152" s="176"/>
      <c r="F152" s="176"/>
      <c r="G152" s="176"/>
      <c r="H152" s="176"/>
      <c r="I152" s="176"/>
      <c r="J152" s="176"/>
      <c r="L152" s="110" t="s">
        <v>161</v>
      </c>
      <c r="M152" s="110"/>
      <c r="N152" s="112">
        <f>F159</f>
        <v>400000</v>
      </c>
      <c r="O152" s="110"/>
      <c r="P152" s="170">
        <f t="shared" ref="P152:P156" si="15">M152+N152-O152</f>
        <v>400000</v>
      </c>
      <c r="Q152" s="130" t="s">
        <v>160</v>
      </c>
      <c r="R152" s="130"/>
      <c r="S152" s="177">
        <f>I159</f>
        <v>400000</v>
      </c>
      <c r="T152" s="131"/>
      <c r="U152" s="165">
        <f t="shared" ref="U152:U157" si="16">R152+S152-T152</f>
        <v>400000</v>
      </c>
      <c r="X152" s="246"/>
      <c r="Y152" s="246"/>
      <c r="Z152" s="246"/>
      <c r="AA152" s="246"/>
      <c r="AB152" s="250"/>
    </row>
    <row r="153" spans="1:28" ht="60" x14ac:dyDescent="0.25">
      <c r="B153" s="129">
        <f>B152</f>
        <v>44439</v>
      </c>
      <c r="C153" s="230" t="str">
        <f>C149</f>
        <v>Начисление % расхода</v>
      </c>
      <c r="D153" s="169" t="s">
        <v>47</v>
      </c>
      <c r="E153" s="169" t="s">
        <v>39</v>
      </c>
      <c r="F153" s="170">
        <f>G89+G90</f>
        <v>737894.9262886853</v>
      </c>
      <c r="G153" s="130" t="s">
        <v>155</v>
      </c>
      <c r="H153" s="130" t="s">
        <v>132</v>
      </c>
      <c r="I153" s="177">
        <f>R86</f>
        <v>2000000</v>
      </c>
      <c r="J153" s="178" t="s">
        <v>224</v>
      </c>
      <c r="L153" s="269"/>
      <c r="M153" s="270"/>
      <c r="N153" s="170"/>
      <c r="O153" s="170"/>
      <c r="P153" s="170"/>
      <c r="Q153" s="271" t="s">
        <v>124</v>
      </c>
      <c r="R153" s="72">
        <f>U128</f>
        <v>2400000</v>
      </c>
      <c r="S153" s="72"/>
      <c r="T153" s="49">
        <f>I158</f>
        <v>2400000</v>
      </c>
      <c r="U153" s="165"/>
      <c r="X153" s="246"/>
      <c r="Y153" s="249"/>
      <c r="Z153" s="247"/>
      <c r="AA153" s="246"/>
      <c r="AB153" s="248"/>
    </row>
    <row r="154" spans="1:28" ht="30" x14ac:dyDescent="0.25">
      <c r="B154" s="129">
        <f>B153</f>
        <v>44439</v>
      </c>
      <c r="C154" s="230" t="s">
        <v>45</v>
      </c>
      <c r="D154" s="171">
        <v>20</v>
      </c>
      <c r="E154" s="171" t="s">
        <v>46</v>
      </c>
      <c r="F154" s="170">
        <v>0</v>
      </c>
      <c r="G154" s="130" t="s">
        <v>155</v>
      </c>
      <c r="H154" s="130" t="s">
        <v>156</v>
      </c>
      <c r="I154" s="177">
        <f>Q86</f>
        <v>0</v>
      </c>
      <c r="J154" s="178" t="s">
        <v>163</v>
      </c>
      <c r="L154" s="171" t="s">
        <v>170</v>
      </c>
      <c r="M154" s="270">
        <f>P129</f>
        <v>-18000000</v>
      </c>
      <c r="N154" s="171"/>
      <c r="O154" s="170">
        <f>F149+F153</f>
        <v>737894.9262886853</v>
      </c>
      <c r="P154" s="170">
        <f t="shared" si="15"/>
        <v>-18737894.926288687</v>
      </c>
      <c r="Q154" s="130" t="s">
        <v>133</v>
      </c>
      <c r="R154" s="72">
        <f>U129</f>
        <v>-31636666.666666675</v>
      </c>
      <c r="S154" s="177">
        <f>I156</f>
        <v>2000000</v>
      </c>
      <c r="T154" s="133"/>
      <c r="U154" s="165">
        <f t="shared" si="16"/>
        <v>-29636666.666666675</v>
      </c>
      <c r="X154" s="246"/>
      <c r="Y154" s="247"/>
      <c r="Z154" s="247"/>
      <c r="AA154" s="247"/>
      <c r="AB154" s="253"/>
    </row>
    <row r="155" spans="1:28" ht="14.45" customHeight="1" x14ac:dyDescent="0.25">
      <c r="B155" s="129">
        <f>B153</f>
        <v>44439</v>
      </c>
      <c r="C155" s="230" t="s">
        <v>176</v>
      </c>
      <c r="D155" s="171" t="s">
        <v>174</v>
      </c>
      <c r="E155" s="171">
        <v>20</v>
      </c>
      <c r="F155" s="170">
        <f>F149+F153+F154</f>
        <v>737894.9262886853</v>
      </c>
      <c r="G155" s="130" t="s">
        <v>175</v>
      </c>
      <c r="H155" s="130" t="s">
        <v>155</v>
      </c>
      <c r="I155" s="177">
        <f>I154+I153</f>
        <v>2000000</v>
      </c>
      <c r="J155" s="130" t="s">
        <v>177</v>
      </c>
      <c r="L155" s="171" t="s">
        <v>241</v>
      </c>
      <c r="M155" s="270">
        <f>P130</f>
        <v>400000</v>
      </c>
      <c r="N155" s="170"/>
      <c r="O155" s="170">
        <f>I159</f>
        <v>400000</v>
      </c>
      <c r="P155" s="170"/>
      <c r="Q155" s="130" t="s">
        <v>158</v>
      </c>
      <c r="R155" s="72"/>
      <c r="S155" s="177">
        <f>I157</f>
        <v>400000</v>
      </c>
      <c r="T155" s="133">
        <f>I159</f>
        <v>400000</v>
      </c>
      <c r="U155" s="165"/>
    </row>
    <row r="156" spans="1:28" ht="45" x14ac:dyDescent="0.25">
      <c r="B156" s="129">
        <f>B155</f>
        <v>44439</v>
      </c>
      <c r="C156" s="108"/>
      <c r="D156" s="110"/>
      <c r="E156" s="110"/>
      <c r="F156" s="110"/>
      <c r="G156" s="130" t="s">
        <v>130</v>
      </c>
      <c r="H156" s="130" t="s">
        <v>157</v>
      </c>
      <c r="I156" s="177">
        <f>P86</f>
        <v>2000000</v>
      </c>
      <c r="J156" s="178" t="s">
        <v>164</v>
      </c>
      <c r="L156" s="110" t="s">
        <v>174</v>
      </c>
      <c r="M156" s="110"/>
      <c r="N156" s="112">
        <f>F155</f>
        <v>737894.9262886853</v>
      </c>
      <c r="O156" s="110"/>
      <c r="P156" s="170">
        <f t="shared" si="15"/>
        <v>737894.9262886853</v>
      </c>
      <c r="Q156" s="130" t="s">
        <v>175</v>
      </c>
      <c r="R156" s="130"/>
      <c r="S156" s="177">
        <f>I155</f>
        <v>2000000</v>
      </c>
      <c r="T156" s="131"/>
      <c r="U156" s="165">
        <f t="shared" si="16"/>
        <v>2000000</v>
      </c>
    </row>
    <row r="157" spans="1:28" ht="29.1" customHeight="1" x14ac:dyDescent="0.25">
      <c r="B157" s="129">
        <f>B156</f>
        <v>44439</v>
      </c>
      <c r="C157" s="108"/>
      <c r="D157" s="110"/>
      <c r="E157" s="110"/>
      <c r="F157" s="110"/>
      <c r="G157" s="130" t="s">
        <v>231</v>
      </c>
      <c r="H157" s="130" t="s">
        <v>157</v>
      </c>
      <c r="I157" s="177">
        <f>O86</f>
        <v>400000</v>
      </c>
      <c r="J157" s="178" t="s">
        <v>165</v>
      </c>
      <c r="L157" s="269"/>
      <c r="M157" s="270"/>
      <c r="N157" s="170"/>
      <c r="O157" s="170"/>
      <c r="P157" s="170"/>
      <c r="Q157" s="66" t="s">
        <v>171</v>
      </c>
      <c r="R157" s="72">
        <f>U131</f>
        <v>11636666.666666675</v>
      </c>
      <c r="S157" s="72"/>
      <c r="T157" s="49">
        <f>I153</f>
        <v>2000000</v>
      </c>
      <c r="U157" s="165">
        <f t="shared" si="16"/>
        <v>9636666.6666666754</v>
      </c>
    </row>
    <row r="158" spans="1:28" ht="29.1" customHeight="1" x14ac:dyDescent="0.25">
      <c r="B158" s="129">
        <f>B157</f>
        <v>44439</v>
      </c>
      <c r="C158" s="179" t="s">
        <v>159</v>
      </c>
      <c r="D158" s="179"/>
      <c r="E158" s="179"/>
      <c r="F158" s="179"/>
      <c r="G158" s="221" t="s">
        <v>157</v>
      </c>
      <c r="H158" s="221" t="s">
        <v>242</v>
      </c>
      <c r="I158" s="273">
        <f>H68</f>
        <v>2400000</v>
      </c>
      <c r="J158" s="221" t="s">
        <v>51</v>
      </c>
      <c r="L158" s="272" t="s">
        <v>169</v>
      </c>
      <c r="M158" s="270">
        <f>SUM(M148:M157)</f>
        <v>2400000</v>
      </c>
      <c r="N158" s="270">
        <f>SUM(N148:N157)</f>
        <v>1875789.8525773706</v>
      </c>
      <c r="O158" s="270">
        <f t="shared" ref="O158:P158" si="17">SUM(O148:O157)</f>
        <v>1875789.8525773706</v>
      </c>
      <c r="P158" s="270">
        <f t="shared" si="17"/>
        <v>2399999.9999999986</v>
      </c>
      <c r="Q158" s="66" t="s">
        <v>169</v>
      </c>
      <c r="R158" s="72">
        <f>SUM(R148:R157)</f>
        <v>2400000</v>
      </c>
      <c r="S158" s="72">
        <f t="shared" ref="S158:U158" si="18">SUM(S148:S157)</f>
        <v>9200000</v>
      </c>
      <c r="T158" s="49">
        <f t="shared" si="18"/>
        <v>9200000</v>
      </c>
      <c r="U158" s="49">
        <f t="shared" si="18"/>
        <v>2400000</v>
      </c>
    </row>
    <row r="159" spans="1:28" ht="45" x14ac:dyDescent="0.25">
      <c r="B159" s="129">
        <f>B158</f>
        <v>44439</v>
      </c>
      <c r="C159" s="110" t="s">
        <v>159</v>
      </c>
      <c r="D159" s="110" t="s">
        <v>161</v>
      </c>
      <c r="E159" s="110" t="s">
        <v>44</v>
      </c>
      <c r="F159" s="112">
        <f>O86</f>
        <v>400000</v>
      </c>
      <c r="G159" s="130" t="s">
        <v>160</v>
      </c>
      <c r="H159" s="130" t="s">
        <v>231</v>
      </c>
      <c r="I159" s="177">
        <v>400000</v>
      </c>
      <c r="J159" s="178" t="s">
        <v>159</v>
      </c>
    </row>
    <row r="161" spans="2:25" x14ac:dyDescent="0.25">
      <c r="B161" s="137"/>
      <c r="G161" s="141"/>
      <c r="H161" s="141"/>
      <c r="I161" s="34"/>
    </row>
    <row r="162" spans="2:25" x14ac:dyDescent="0.25">
      <c r="B162" s="137"/>
      <c r="G162" s="141"/>
      <c r="H162" s="141"/>
      <c r="I162" s="34" t="s">
        <v>244</v>
      </c>
      <c r="T162" s="34" t="s">
        <v>245</v>
      </c>
    </row>
    <row r="163" spans="2:25" ht="18.75" x14ac:dyDescent="0.25">
      <c r="B163" s="306" t="s">
        <v>196</v>
      </c>
      <c r="C163" s="306"/>
      <c r="D163" s="306"/>
      <c r="E163" s="306"/>
      <c r="F163" s="306"/>
      <c r="G163" s="306"/>
      <c r="H163" s="306"/>
      <c r="I163" s="306"/>
      <c r="J163" s="306"/>
      <c r="L163" s="280" t="s">
        <v>228</v>
      </c>
      <c r="M163" s="280"/>
      <c r="N163" s="280"/>
      <c r="O163" s="280"/>
      <c r="P163" s="280"/>
      <c r="Q163" s="281" t="s">
        <v>173</v>
      </c>
      <c r="R163" s="281"/>
      <c r="S163" s="281"/>
      <c r="T163" s="281"/>
      <c r="U163" s="281"/>
    </row>
    <row r="164" spans="2:25" ht="30" x14ac:dyDescent="0.25">
      <c r="B164" s="289" t="s">
        <v>18</v>
      </c>
      <c r="C164" s="289" t="s">
        <v>94</v>
      </c>
      <c r="D164" s="290" t="s">
        <v>31</v>
      </c>
      <c r="E164" s="290"/>
      <c r="F164" s="290"/>
      <c r="G164" s="277" t="s">
        <v>32</v>
      </c>
      <c r="H164" s="277"/>
      <c r="I164" s="277"/>
      <c r="J164" s="277"/>
      <c r="L164" s="267" t="s">
        <v>168</v>
      </c>
      <c r="M164" s="267" t="s">
        <v>199</v>
      </c>
      <c r="N164" s="267" t="s">
        <v>33</v>
      </c>
      <c r="O164" s="267" t="s">
        <v>34</v>
      </c>
      <c r="P164" s="267" t="s">
        <v>200</v>
      </c>
      <c r="Q164" s="268" t="s">
        <v>168</v>
      </c>
      <c r="R164" s="268" t="s">
        <v>199</v>
      </c>
      <c r="S164" s="268" t="s">
        <v>33</v>
      </c>
      <c r="T164" s="268" t="s">
        <v>34</v>
      </c>
      <c r="U164" s="268" t="s">
        <v>200</v>
      </c>
    </row>
    <row r="165" spans="2:25" ht="30" x14ac:dyDescent="0.25">
      <c r="B165" s="289"/>
      <c r="C165" s="289"/>
      <c r="D165" s="195" t="s">
        <v>33</v>
      </c>
      <c r="E165" s="195" t="s">
        <v>34</v>
      </c>
      <c r="F165" s="195" t="s">
        <v>35</v>
      </c>
      <c r="G165" s="233" t="s">
        <v>33</v>
      </c>
      <c r="H165" s="233" t="s">
        <v>34</v>
      </c>
      <c r="I165" s="233" t="s">
        <v>35</v>
      </c>
      <c r="J165" s="128" t="s">
        <v>95</v>
      </c>
      <c r="L165" s="269" t="s">
        <v>40</v>
      </c>
      <c r="M165" s="270">
        <f>P148</f>
        <v>20000000</v>
      </c>
      <c r="N165" s="170"/>
      <c r="O165" s="170"/>
      <c r="P165" s="170">
        <f t="shared" ref="P165:P173" si="19">M165+N165-O165</f>
        <v>20000000</v>
      </c>
      <c r="Q165" s="66" t="s">
        <v>131</v>
      </c>
      <c r="R165" s="72">
        <f>U148</f>
        <v>20000000</v>
      </c>
      <c r="S165" s="72"/>
      <c r="T165" s="72"/>
      <c r="U165" s="275">
        <f t="shared" ref="U165:U173" si="20">R165+S165-T165</f>
        <v>20000000</v>
      </c>
    </row>
    <row r="166" spans="2:25" x14ac:dyDescent="0.25">
      <c r="B166" s="129">
        <f>C91</f>
        <v>44449</v>
      </c>
      <c r="C166" s="9" t="s">
        <v>41</v>
      </c>
      <c r="D166" s="169" t="s">
        <v>47</v>
      </c>
      <c r="E166" s="169" t="s">
        <v>39</v>
      </c>
      <c r="F166" s="170">
        <f>G91</f>
        <v>270801.41177945241</v>
      </c>
      <c r="G166" s="130"/>
      <c r="H166" s="130"/>
      <c r="I166" s="131"/>
      <c r="J166" s="131"/>
      <c r="L166" s="110" t="s">
        <v>46</v>
      </c>
      <c r="M166" s="270">
        <f>P149</f>
        <v>0</v>
      </c>
      <c r="N166" s="171"/>
      <c r="O166" s="170">
        <f>F171</f>
        <v>1333333.3333333333</v>
      </c>
      <c r="P166" s="170">
        <f t="shared" si="19"/>
        <v>-1333333.3333333333</v>
      </c>
      <c r="Q166" s="130" t="s">
        <v>156</v>
      </c>
      <c r="R166" s="72">
        <f>U149</f>
        <v>0</v>
      </c>
      <c r="S166" s="130"/>
      <c r="T166" s="177">
        <f>I171</f>
        <v>952380.95238095243</v>
      </c>
      <c r="U166" s="275">
        <f t="shared" si="20"/>
        <v>-952380.95238095243</v>
      </c>
    </row>
    <row r="167" spans="2:25" x14ac:dyDescent="0.25">
      <c r="B167" s="129">
        <f>B166</f>
        <v>44449</v>
      </c>
      <c r="C167" s="9" t="s">
        <v>42</v>
      </c>
      <c r="D167" s="169" t="str">
        <f>E166</f>
        <v>76Обязат</v>
      </c>
      <c r="E167" s="169" t="s">
        <v>48</v>
      </c>
      <c r="F167" s="170">
        <f>F91</f>
        <v>3500000</v>
      </c>
      <c r="G167" s="131"/>
      <c r="H167" s="131"/>
      <c r="I167" s="131"/>
      <c r="J167" s="131"/>
      <c r="L167" s="110">
        <v>20</v>
      </c>
      <c r="M167" s="270">
        <f>P150</f>
        <v>0</v>
      </c>
      <c r="N167" s="170">
        <f>F166+F171+F170</f>
        <v>2055639.5293197415</v>
      </c>
      <c r="O167" s="170">
        <f>N167</f>
        <v>2055639.5293197415</v>
      </c>
      <c r="P167" s="170">
        <f t="shared" si="19"/>
        <v>0</v>
      </c>
      <c r="Q167" s="130" t="s">
        <v>155</v>
      </c>
      <c r="R167" s="72">
        <f>U150</f>
        <v>0</v>
      </c>
      <c r="S167" s="177">
        <f>I170+I171</f>
        <v>3500000</v>
      </c>
      <c r="T167" s="177">
        <f>I172</f>
        <v>3500000</v>
      </c>
      <c r="U167" s="275">
        <f t="shared" si="20"/>
        <v>0</v>
      </c>
    </row>
    <row r="168" spans="2:25" x14ac:dyDescent="0.25">
      <c r="B168" s="129"/>
      <c r="C168" s="9" t="s">
        <v>43</v>
      </c>
      <c r="D168" s="171" t="s">
        <v>44</v>
      </c>
      <c r="E168" s="171" t="s">
        <v>48</v>
      </c>
      <c r="F168" s="170">
        <f>E91</f>
        <v>700000</v>
      </c>
      <c r="G168" s="131"/>
      <c r="H168" s="131"/>
      <c r="I168" s="131"/>
      <c r="J168" s="131"/>
      <c r="L168" s="110" t="s">
        <v>48</v>
      </c>
      <c r="M168" s="270">
        <f>P151</f>
        <v>0</v>
      </c>
      <c r="N168" s="171"/>
      <c r="O168" s="170">
        <f>F167+F168</f>
        <v>4200000</v>
      </c>
      <c r="P168" s="170">
        <f t="shared" si="19"/>
        <v>-4200000</v>
      </c>
      <c r="Q168" s="130" t="s">
        <v>157</v>
      </c>
      <c r="R168" s="72">
        <f>U151</f>
        <v>0</v>
      </c>
      <c r="S168" s="130"/>
      <c r="T168" s="177">
        <f>I173+I174</f>
        <v>4200000</v>
      </c>
      <c r="U168" s="275">
        <f t="shared" si="20"/>
        <v>-4200000</v>
      </c>
    </row>
    <row r="169" spans="2:25" x14ac:dyDescent="0.25">
      <c r="B169" s="129"/>
      <c r="C169" s="172" t="s">
        <v>162</v>
      </c>
      <c r="D169" s="172"/>
      <c r="E169" s="172"/>
      <c r="F169" s="172"/>
      <c r="G169" s="274"/>
      <c r="H169" s="274"/>
      <c r="I169" s="274"/>
      <c r="J169" s="274"/>
      <c r="L169" s="110" t="s">
        <v>161</v>
      </c>
      <c r="M169" s="270">
        <f>P152</f>
        <v>400000</v>
      </c>
      <c r="N169" s="170">
        <f>F176</f>
        <v>700000</v>
      </c>
      <c r="O169" s="171"/>
      <c r="P169" s="170">
        <f t="shared" si="19"/>
        <v>1100000</v>
      </c>
      <c r="Q169" s="130" t="s">
        <v>160</v>
      </c>
      <c r="R169" s="72">
        <f>U152</f>
        <v>400000</v>
      </c>
      <c r="S169" s="177">
        <f>I176</f>
        <v>700000</v>
      </c>
      <c r="T169" s="130"/>
      <c r="U169" s="275">
        <f t="shared" si="20"/>
        <v>1100000</v>
      </c>
    </row>
    <row r="170" spans="2:25" ht="60" x14ac:dyDescent="0.25">
      <c r="B170" s="129">
        <f>C92</f>
        <v>44469</v>
      </c>
      <c r="C170" s="9" t="str">
        <f>C166</f>
        <v>Начисление % расхода</v>
      </c>
      <c r="D170" s="169" t="s">
        <v>47</v>
      </c>
      <c r="E170" s="169" t="s">
        <v>39</v>
      </c>
      <c r="F170" s="170">
        <f>G92</f>
        <v>451504.78420695593</v>
      </c>
      <c r="G170" s="131" t="s">
        <v>155</v>
      </c>
      <c r="H170" s="131" t="s">
        <v>132</v>
      </c>
      <c r="I170" s="133">
        <f>R87</f>
        <v>2547619.0476190476</v>
      </c>
      <c r="J170" s="178" t="s">
        <v>224</v>
      </c>
      <c r="L170" s="171" t="s">
        <v>170</v>
      </c>
      <c r="M170" s="270">
        <f>P154</f>
        <v>-18737894.926288687</v>
      </c>
      <c r="N170" s="170">
        <f>F167</f>
        <v>3500000</v>
      </c>
      <c r="O170" s="170">
        <f>F166+F170</f>
        <v>722306.19598640827</v>
      </c>
      <c r="P170" s="170">
        <f t="shared" si="19"/>
        <v>-15960201.122275095</v>
      </c>
      <c r="Q170" s="130" t="s">
        <v>133</v>
      </c>
      <c r="R170" s="72">
        <f>U154</f>
        <v>-29636666.666666675</v>
      </c>
      <c r="S170" s="177">
        <f>I173</f>
        <v>3500000</v>
      </c>
      <c r="T170" s="177"/>
      <c r="U170" s="275">
        <f t="shared" si="20"/>
        <v>-26136666.666666675</v>
      </c>
    </row>
    <row r="171" spans="2:25" ht="30" x14ac:dyDescent="0.25">
      <c r="B171" s="129">
        <f>B170</f>
        <v>44469</v>
      </c>
      <c r="C171" s="9" t="s">
        <v>45</v>
      </c>
      <c r="D171" s="171">
        <v>20</v>
      </c>
      <c r="E171" s="171" t="s">
        <v>46</v>
      </c>
      <c r="F171" s="170">
        <f>F76</f>
        <v>1333333.3333333333</v>
      </c>
      <c r="G171" s="131" t="s">
        <v>155</v>
      </c>
      <c r="H171" s="131" t="s">
        <v>156</v>
      </c>
      <c r="I171" s="133">
        <f>Q87</f>
        <v>952380.95238095243</v>
      </c>
      <c r="J171" s="134" t="s">
        <v>163</v>
      </c>
      <c r="L171" s="171" t="s">
        <v>241</v>
      </c>
      <c r="M171" s="270">
        <f>P155</f>
        <v>0</v>
      </c>
      <c r="N171" s="170">
        <f>F168</f>
        <v>700000</v>
      </c>
      <c r="O171" s="170">
        <f>F176</f>
        <v>700000</v>
      </c>
      <c r="P171" s="170">
        <f t="shared" si="19"/>
        <v>0</v>
      </c>
      <c r="Q171" s="130" t="s">
        <v>158</v>
      </c>
      <c r="R171" s="72">
        <f>U155</f>
        <v>0</v>
      </c>
      <c r="S171" s="177">
        <f>I174</f>
        <v>700000</v>
      </c>
      <c r="T171" s="177">
        <f>I176</f>
        <v>700000</v>
      </c>
      <c r="U171" s="275">
        <f t="shared" si="20"/>
        <v>0</v>
      </c>
    </row>
    <row r="172" spans="2:25" x14ac:dyDescent="0.25">
      <c r="B172" s="129">
        <f>B170</f>
        <v>44469</v>
      </c>
      <c r="C172" s="9" t="s">
        <v>176</v>
      </c>
      <c r="D172" s="171" t="s">
        <v>174</v>
      </c>
      <c r="E172" s="171">
        <v>20</v>
      </c>
      <c r="F172" s="170">
        <f>F166+F170+F171</f>
        <v>2055639.5293197415</v>
      </c>
      <c r="G172" s="131" t="s">
        <v>175</v>
      </c>
      <c r="H172" s="131" t="s">
        <v>155</v>
      </c>
      <c r="I172" s="133">
        <f>I171+I170</f>
        <v>3500000</v>
      </c>
      <c r="J172" s="131" t="s">
        <v>177</v>
      </c>
      <c r="L172" s="110" t="s">
        <v>174</v>
      </c>
      <c r="M172" s="270">
        <f>P156</f>
        <v>737894.9262886853</v>
      </c>
      <c r="N172" s="170">
        <f>F172</f>
        <v>2055639.5293197415</v>
      </c>
      <c r="O172" s="171"/>
      <c r="P172" s="170">
        <f t="shared" si="19"/>
        <v>2793534.4556084266</v>
      </c>
      <c r="Q172" s="130" t="s">
        <v>175</v>
      </c>
      <c r="R172" s="72">
        <f>U156</f>
        <v>2000000</v>
      </c>
      <c r="S172" s="177">
        <f>I172</f>
        <v>3500000</v>
      </c>
      <c r="T172" s="130"/>
      <c r="U172" s="275">
        <f t="shared" si="20"/>
        <v>5500000</v>
      </c>
    </row>
    <row r="173" spans="2:25" ht="45" x14ac:dyDescent="0.25">
      <c r="B173" s="129">
        <f>B172</f>
        <v>44469</v>
      </c>
      <c r="C173" s="59"/>
      <c r="D173" s="110"/>
      <c r="E173" s="110"/>
      <c r="F173" s="110"/>
      <c r="G173" s="130" t="s">
        <v>130</v>
      </c>
      <c r="H173" s="130" t="s">
        <v>157</v>
      </c>
      <c r="I173" s="133">
        <f>P87</f>
        <v>3500000</v>
      </c>
      <c r="J173" s="134" t="s">
        <v>164</v>
      </c>
      <c r="L173" s="269"/>
      <c r="M173" s="270"/>
      <c r="N173" s="170"/>
      <c r="O173" s="170"/>
      <c r="P173" s="170">
        <f t="shared" si="19"/>
        <v>0</v>
      </c>
      <c r="Q173" s="66" t="s">
        <v>171</v>
      </c>
      <c r="R173" s="72">
        <f>U157</f>
        <v>9636666.6666666754</v>
      </c>
      <c r="S173" s="72"/>
      <c r="T173" s="72">
        <f>I170</f>
        <v>2547619.0476190476</v>
      </c>
      <c r="U173" s="275">
        <f t="shared" si="20"/>
        <v>7089047.6190476278</v>
      </c>
    </row>
    <row r="174" spans="2:25" ht="45" x14ac:dyDescent="0.25">
      <c r="B174" s="129">
        <f>B173</f>
        <v>44469</v>
      </c>
      <c r="C174" s="59"/>
      <c r="D174" s="110"/>
      <c r="E174" s="110"/>
      <c r="F174" s="110"/>
      <c r="G174" s="130" t="s">
        <v>231</v>
      </c>
      <c r="H174" s="130" t="s">
        <v>157</v>
      </c>
      <c r="I174" s="133">
        <f>O87</f>
        <v>700000</v>
      </c>
      <c r="J174" s="134" t="s">
        <v>165</v>
      </c>
      <c r="L174" s="272" t="s">
        <v>169</v>
      </c>
      <c r="M174" s="270">
        <f>SUM(M165:M173)</f>
        <v>2399999.9999999986</v>
      </c>
      <c r="N174" s="270">
        <f>SUM(N165:N173)</f>
        <v>9011279.0586394835</v>
      </c>
      <c r="O174" s="270">
        <f>SUM(O165:O173)</f>
        <v>9011279.0586394835</v>
      </c>
      <c r="P174" s="270">
        <f>SUM(P165:P173)</f>
        <v>2399999.9999999991</v>
      </c>
      <c r="Q174" s="66" t="s">
        <v>169</v>
      </c>
      <c r="R174" s="72">
        <f>SUM(R165:R173)</f>
        <v>2400000</v>
      </c>
      <c r="S174" s="72">
        <f>SUM(S165:S173)</f>
        <v>11900000</v>
      </c>
      <c r="T174" s="72">
        <f>SUM(T165:T173)</f>
        <v>11900000</v>
      </c>
      <c r="U174" s="72">
        <f>SUM(U165:U173)</f>
        <v>2400000.0000000009</v>
      </c>
      <c r="Y174" s="15">
        <f ca="1">+Y174:Z175</f>
        <v>0</v>
      </c>
    </row>
    <row r="175" spans="2:25" x14ac:dyDescent="0.25">
      <c r="B175" s="129"/>
      <c r="C175" s="111" t="s">
        <v>159</v>
      </c>
      <c r="D175" s="111"/>
      <c r="E175" s="111"/>
      <c r="F175" s="111"/>
      <c r="G175" s="274"/>
      <c r="H175" s="274"/>
      <c r="I175" s="274"/>
      <c r="J175" s="274"/>
    </row>
    <row r="176" spans="2:25" ht="45" x14ac:dyDescent="0.25">
      <c r="B176" s="129">
        <f>B173</f>
        <v>44469</v>
      </c>
      <c r="C176" s="29" t="s">
        <v>159</v>
      </c>
      <c r="D176" s="110" t="s">
        <v>161</v>
      </c>
      <c r="E176" s="110" t="s">
        <v>44</v>
      </c>
      <c r="F176" s="112">
        <f>O87</f>
        <v>700000</v>
      </c>
      <c r="G176" s="130" t="s">
        <v>160</v>
      </c>
      <c r="H176" s="130" t="s">
        <v>231</v>
      </c>
      <c r="I176" s="133">
        <f>O87</f>
        <v>700000</v>
      </c>
      <c r="J176" s="134" t="s">
        <v>159</v>
      </c>
    </row>
    <row r="177" spans="1:21" x14ac:dyDescent="0.25">
      <c r="B177" s="137"/>
      <c r="C177" s="15"/>
    </row>
    <row r="178" spans="1:21" s="136" customFormat="1" ht="15.75" x14ac:dyDescent="0.25">
      <c r="B178" s="254"/>
      <c r="C178" s="256" t="s">
        <v>230</v>
      </c>
      <c r="O178" s="255"/>
    </row>
    <row r="179" spans="1:21" x14ac:dyDescent="0.25">
      <c r="A179" s="144"/>
      <c r="B179" s="145"/>
      <c r="C179" s="1"/>
      <c r="D179" s="146"/>
      <c r="E179" s="146"/>
      <c r="F179" s="147"/>
      <c r="G179" s="148"/>
      <c r="H179" s="148"/>
      <c r="I179" s="149"/>
      <c r="J179" s="150"/>
    </row>
    <row r="180" spans="1:21" x14ac:dyDescent="0.25">
      <c r="A180" s="151"/>
      <c r="B180" s="145"/>
      <c r="C180" s="152"/>
      <c r="D180" s="153"/>
      <c r="E180" s="154"/>
      <c r="F180" s="155"/>
      <c r="G180" s="148"/>
      <c r="H180" s="148"/>
      <c r="I180" s="149"/>
      <c r="J180" s="150"/>
    </row>
    <row r="181" spans="1:21" ht="18.75" x14ac:dyDescent="0.25">
      <c r="B181" s="306" t="s">
        <v>178</v>
      </c>
      <c r="C181" s="306"/>
      <c r="D181" s="306"/>
      <c r="E181" s="306"/>
      <c r="F181" s="306"/>
      <c r="G181" s="306"/>
      <c r="H181" s="306"/>
      <c r="I181" s="306"/>
      <c r="J181" s="306"/>
      <c r="L181" s="276" t="s">
        <v>228</v>
      </c>
      <c r="M181" s="276"/>
      <c r="N181" s="276"/>
      <c r="O181" s="276"/>
      <c r="P181" s="276"/>
      <c r="Q181" s="277" t="s">
        <v>173</v>
      </c>
      <c r="R181" s="277"/>
      <c r="S181" s="277"/>
      <c r="T181" s="277"/>
      <c r="U181" s="277"/>
    </row>
    <row r="182" spans="1:21" ht="30" x14ac:dyDescent="0.25">
      <c r="B182" s="289" t="s">
        <v>18</v>
      </c>
      <c r="C182" s="286" t="s">
        <v>94</v>
      </c>
      <c r="D182" s="287" t="s">
        <v>31</v>
      </c>
      <c r="E182" s="287"/>
      <c r="F182" s="287"/>
      <c r="G182" s="279" t="s">
        <v>32</v>
      </c>
      <c r="H182" s="279"/>
      <c r="I182" s="279"/>
      <c r="J182" s="279"/>
      <c r="L182" s="167" t="s">
        <v>168</v>
      </c>
      <c r="M182" s="167" t="s">
        <v>203</v>
      </c>
      <c r="N182" s="167" t="s">
        <v>33</v>
      </c>
      <c r="O182" s="167" t="s">
        <v>34</v>
      </c>
      <c r="P182" s="167" t="s">
        <v>204</v>
      </c>
      <c r="Q182" s="168" t="s">
        <v>168</v>
      </c>
      <c r="R182" s="168" t="s">
        <v>203</v>
      </c>
      <c r="S182" s="168" t="s">
        <v>33</v>
      </c>
      <c r="T182" s="168" t="s">
        <v>34</v>
      </c>
      <c r="U182" s="168" t="s">
        <v>204</v>
      </c>
    </row>
    <row r="183" spans="1:21" ht="30" x14ac:dyDescent="0.25">
      <c r="B183" s="289"/>
      <c r="C183" s="286"/>
      <c r="D183" s="20" t="s">
        <v>33</v>
      </c>
      <c r="E183" s="20" t="s">
        <v>34</v>
      </c>
      <c r="F183" s="20" t="s">
        <v>35</v>
      </c>
      <c r="G183" s="238" t="s">
        <v>33</v>
      </c>
      <c r="H183" s="238" t="s">
        <v>34</v>
      </c>
      <c r="I183" s="238" t="s">
        <v>35</v>
      </c>
      <c r="J183" s="239" t="s">
        <v>95</v>
      </c>
      <c r="L183" s="162" t="s">
        <v>40</v>
      </c>
      <c r="M183" s="163">
        <f>M165</f>
        <v>20000000</v>
      </c>
      <c r="N183" s="118"/>
      <c r="O183" s="118">
        <f>F192</f>
        <v>20000000</v>
      </c>
      <c r="P183" s="118">
        <f>M183+N183-O183</f>
        <v>0</v>
      </c>
      <c r="Q183" s="164" t="s">
        <v>131</v>
      </c>
      <c r="R183" s="49">
        <f>U165</f>
        <v>20000000</v>
      </c>
      <c r="S183" s="49"/>
      <c r="T183" s="49">
        <f>I185</f>
        <v>20000000</v>
      </c>
      <c r="U183" s="165">
        <f>R183+S183-T183</f>
        <v>0</v>
      </c>
    </row>
    <row r="184" spans="1:21" x14ac:dyDescent="0.25">
      <c r="C184" s="265" t="s">
        <v>218</v>
      </c>
      <c r="G184" s="299"/>
      <c r="H184" s="300"/>
      <c r="I184" s="300"/>
      <c r="J184" s="301"/>
      <c r="L184" s="29" t="s">
        <v>179</v>
      </c>
      <c r="M184" s="29"/>
      <c r="N184" s="45">
        <f>F192</f>
        <v>20000000</v>
      </c>
      <c r="O184" s="29"/>
      <c r="P184" s="118">
        <f t="shared" ref="P184" si="21">M184+N184-O184</f>
        <v>20000000</v>
      </c>
      <c r="Q184" s="131" t="s">
        <v>205</v>
      </c>
      <c r="R184" s="131"/>
      <c r="S184" s="133">
        <f>I193</f>
        <v>200000</v>
      </c>
      <c r="T184" s="131"/>
      <c r="U184" s="165">
        <f t="shared" ref="U184:U189" si="22">R184+S184-T184</f>
        <v>200000</v>
      </c>
    </row>
    <row r="185" spans="1:21" ht="45" x14ac:dyDescent="0.25">
      <c r="B185" s="129">
        <f>C119</f>
        <v>44867</v>
      </c>
      <c r="C185" s="175" t="s">
        <v>41</v>
      </c>
      <c r="D185" s="169" t="s">
        <v>47</v>
      </c>
      <c r="E185" s="169" t="s">
        <v>39</v>
      </c>
      <c r="F185" s="31">
        <f>G119</f>
        <v>573.12267279178752</v>
      </c>
      <c r="G185" s="239" t="s">
        <v>206</v>
      </c>
      <c r="H185" s="239" t="s">
        <v>131</v>
      </c>
      <c r="I185" s="259">
        <f>K74</f>
        <v>20000000</v>
      </c>
      <c r="J185" s="260" t="s">
        <v>219</v>
      </c>
      <c r="L185" s="29"/>
      <c r="M185" s="29"/>
      <c r="N185" s="29"/>
      <c r="O185" s="29"/>
      <c r="P185" s="29"/>
      <c r="Q185" s="131" t="s">
        <v>206</v>
      </c>
      <c r="R185" s="131"/>
      <c r="S185" s="133">
        <f>I185</f>
        <v>20000000</v>
      </c>
      <c r="T185" s="133">
        <f>I186+I187</f>
        <v>20000000.000000011</v>
      </c>
      <c r="U185" s="165">
        <f t="shared" si="22"/>
        <v>0</v>
      </c>
    </row>
    <row r="186" spans="1:21" ht="45" x14ac:dyDescent="0.25">
      <c r="B186" s="129"/>
      <c r="C186" s="240" t="s">
        <v>42</v>
      </c>
      <c r="D186" s="169" t="str">
        <f>E185</f>
        <v>76Обязат</v>
      </c>
      <c r="E186" s="169" t="s">
        <v>48</v>
      </c>
      <c r="F186" s="118">
        <f>F119</f>
        <v>200000</v>
      </c>
      <c r="G186" s="180" t="s">
        <v>46</v>
      </c>
      <c r="H186" s="180" t="s">
        <v>206</v>
      </c>
      <c r="I186" s="181">
        <f>K80*(C28-1)</f>
        <v>13333333.333333334</v>
      </c>
      <c r="J186" s="182" t="s">
        <v>184</v>
      </c>
      <c r="L186" s="29" t="s">
        <v>46</v>
      </c>
      <c r="M186" s="163">
        <f>-F76*14</f>
        <v>-18666666.666666664</v>
      </c>
      <c r="N186" s="118">
        <f>F193</f>
        <v>18666666.666666668</v>
      </c>
      <c r="O186" s="29"/>
      <c r="P186" s="118">
        <f>M186+N186-O186</f>
        <v>3.7252902984619141E-9</v>
      </c>
      <c r="Q186" s="131" t="s">
        <v>156</v>
      </c>
      <c r="R186" s="49">
        <f>-K80*14</f>
        <v>-13333333.333333334</v>
      </c>
      <c r="S186" s="133">
        <f>I186</f>
        <v>13333333.333333334</v>
      </c>
      <c r="T186" s="133"/>
      <c r="U186" s="165">
        <f t="shared" si="22"/>
        <v>0</v>
      </c>
    </row>
    <row r="187" spans="1:21" ht="60" x14ac:dyDescent="0.25">
      <c r="B187" s="129"/>
      <c r="C187" s="240" t="s">
        <v>43</v>
      </c>
      <c r="D187" s="119" t="s">
        <v>44</v>
      </c>
      <c r="E187" s="119" t="s">
        <v>48</v>
      </c>
      <c r="F187" s="118">
        <f>E119</f>
        <v>40000</v>
      </c>
      <c r="G187" s="261" t="s">
        <v>133</v>
      </c>
      <c r="H187" s="261" t="s">
        <v>206</v>
      </c>
      <c r="I187" s="220">
        <f>T101</f>
        <v>6666666.6666666772</v>
      </c>
      <c r="J187" s="262" t="s">
        <v>225</v>
      </c>
      <c r="L187" s="29" t="s">
        <v>232</v>
      </c>
      <c r="M187" s="29"/>
      <c r="N187" s="29"/>
      <c r="O187" s="45">
        <f>F193</f>
        <v>18666666.666666668</v>
      </c>
      <c r="P187" s="118">
        <f>M187+N187-O187</f>
        <v>-18666666.666666668</v>
      </c>
      <c r="Q187" s="131" t="s">
        <v>234</v>
      </c>
      <c r="R187" s="131"/>
      <c r="S187" s="131"/>
      <c r="T187" s="131"/>
      <c r="U187" s="165">
        <f t="shared" si="22"/>
        <v>0</v>
      </c>
    </row>
    <row r="188" spans="1:21" x14ac:dyDescent="0.25">
      <c r="B188" s="129"/>
      <c r="C188" s="257" t="s">
        <v>202</v>
      </c>
      <c r="D188" s="171" t="s">
        <v>174</v>
      </c>
      <c r="E188" s="171">
        <v>20</v>
      </c>
      <c r="F188" s="258">
        <f>F185</f>
        <v>573.12267279178752</v>
      </c>
      <c r="G188" s="131"/>
      <c r="H188" s="131"/>
      <c r="I188" s="131"/>
      <c r="J188" s="131"/>
      <c r="L188" s="110">
        <v>20</v>
      </c>
      <c r="M188" s="163"/>
      <c r="N188" s="118">
        <f>F185</f>
        <v>573.12267279178752</v>
      </c>
      <c r="O188" s="118">
        <f>F188</f>
        <v>573.12267279178752</v>
      </c>
      <c r="P188" s="118">
        <f>M188+N188-O188</f>
        <v>0</v>
      </c>
      <c r="Q188" s="131" t="s">
        <v>155</v>
      </c>
      <c r="R188" s="49"/>
      <c r="S188" s="133"/>
      <c r="T188" s="133"/>
      <c r="U188" s="165">
        <f t="shared" si="22"/>
        <v>0</v>
      </c>
    </row>
    <row r="189" spans="1:21" x14ac:dyDescent="0.25">
      <c r="B189" s="183"/>
      <c r="C189" s="240"/>
      <c r="D189" s="119"/>
      <c r="E189" s="119"/>
      <c r="F189" s="118"/>
      <c r="G189" s="131"/>
      <c r="H189" s="131"/>
      <c r="I189" s="131"/>
      <c r="J189" s="131"/>
      <c r="L189" s="29" t="s">
        <v>48</v>
      </c>
      <c r="M189" s="163">
        <f>-SUM(D89:D117)</f>
        <v>-27564000</v>
      </c>
      <c r="N189" s="119"/>
      <c r="O189" s="118">
        <f>F186+F187</f>
        <v>240000</v>
      </c>
      <c r="P189" s="118">
        <f>M189+N189-O189</f>
        <v>-27804000</v>
      </c>
      <c r="Q189" s="131" t="s">
        <v>157</v>
      </c>
      <c r="R189" s="49">
        <f>-(SUM(N86:N100)-N86)</f>
        <v>-27564000</v>
      </c>
      <c r="S189" s="131"/>
      <c r="T189" s="133">
        <f>I191+I192</f>
        <v>240000</v>
      </c>
      <c r="U189" s="165">
        <f t="shared" si="22"/>
        <v>-27804000</v>
      </c>
    </row>
    <row r="190" spans="1:21" ht="30" x14ac:dyDescent="0.25">
      <c r="B190" s="183"/>
      <c r="C190" s="241" t="s">
        <v>182</v>
      </c>
      <c r="D190" s="119"/>
      <c r="E190" s="119"/>
      <c r="F190" s="118"/>
      <c r="G190" s="131"/>
      <c r="H190" s="131"/>
      <c r="I190" s="131"/>
      <c r="J190" s="131"/>
      <c r="L190" s="29"/>
      <c r="M190" s="29"/>
      <c r="N190" s="29"/>
      <c r="O190" s="29"/>
      <c r="P190" s="29"/>
      <c r="Q190" s="131"/>
      <c r="R190" s="131"/>
      <c r="S190" s="131"/>
      <c r="T190" s="131"/>
      <c r="U190" s="131"/>
    </row>
    <row r="191" spans="1:21" ht="105" x14ac:dyDescent="0.25">
      <c r="B191" s="129"/>
      <c r="D191" s="29"/>
      <c r="E191" s="29"/>
      <c r="F191" s="29"/>
      <c r="G191" s="263" t="s">
        <v>129</v>
      </c>
      <c r="H191" s="261" t="s">
        <v>236</v>
      </c>
      <c r="I191" s="220">
        <f>S101</f>
        <v>200000</v>
      </c>
      <c r="J191" s="262" t="s">
        <v>226</v>
      </c>
      <c r="L191" s="29" t="s">
        <v>161</v>
      </c>
      <c r="M191" s="163">
        <f>SUM(E87:E117)</f>
        <v>4994000</v>
      </c>
      <c r="N191" s="118">
        <f>F195</f>
        <v>40000</v>
      </c>
      <c r="O191" s="119"/>
      <c r="P191" s="118">
        <f>M191+N191-O191</f>
        <v>5034000</v>
      </c>
      <c r="Q191" s="131" t="s">
        <v>160</v>
      </c>
      <c r="R191" s="49">
        <f>SUM(O86:O100)</f>
        <v>4994000</v>
      </c>
      <c r="S191" s="133">
        <f>I195</f>
        <v>40000</v>
      </c>
      <c r="T191" s="131"/>
      <c r="U191" s="165">
        <f>R191+S191-T191</f>
        <v>5034000</v>
      </c>
    </row>
    <row r="192" spans="1:21" ht="30" x14ac:dyDescent="0.25">
      <c r="B192" s="129">
        <f>B185</f>
        <v>44867</v>
      </c>
      <c r="C192" s="242" t="s">
        <v>49</v>
      </c>
      <c r="D192" s="243" t="s">
        <v>179</v>
      </c>
      <c r="E192" s="243" t="s">
        <v>40</v>
      </c>
      <c r="F192" s="45">
        <f>F133</f>
        <v>20000000</v>
      </c>
      <c r="G192" s="261" t="s">
        <v>231</v>
      </c>
      <c r="H192" s="261" t="s">
        <v>157</v>
      </c>
      <c r="I192" s="220">
        <v>40000</v>
      </c>
      <c r="J192" s="262" t="s">
        <v>227</v>
      </c>
      <c r="L192" s="119" t="s">
        <v>170</v>
      </c>
      <c r="M192" s="163">
        <f>-H118</f>
        <v>-199426.86355317003</v>
      </c>
      <c r="N192" s="118">
        <f>F186</f>
        <v>200000</v>
      </c>
      <c r="O192" s="118">
        <f>F185</f>
        <v>573.12267279178752</v>
      </c>
      <c r="P192" s="118">
        <f>M192+N192-O192</f>
        <v>1.3774038185033532E-2</v>
      </c>
      <c r="Q192" s="131" t="s">
        <v>133</v>
      </c>
      <c r="R192" s="49">
        <f>-T101</f>
        <v>-6666666.6666666772</v>
      </c>
      <c r="S192" s="133">
        <f>I187</f>
        <v>6666666.6666666772</v>
      </c>
      <c r="T192" s="133"/>
      <c r="U192" s="165">
        <f>R192+S192-T192</f>
        <v>0</v>
      </c>
    </row>
    <row r="193" spans="2:21" ht="25.5" x14ac:dyDescent="0.25">
      <c r="B193" s="129">
        <f>B185</f>
        <v>44867</v>
      </c>
      <c r="C193" s="244" t="s">
        <v>50</v>
      </c>
      <c r="D193" s="245" t="s">
        <v>180</v>
      </c>
      <c r="E193" s="245" t="s">
        <v>181</v>
      </c>
      <c r="F193" s="45">
        <f>F192-F76</f>
        <v>18666666.666666668</v>
      </c>
      <c r="G193" s="264" t="s">
        <v>233</v>
      </c>
      <c r="H193" s="263" t="s">
        <v>129</v>
      </c>
      <c r="I193" s="220">
        <f>I191</f>
        <v>200000</v>
      </c>
      <c r="J193" s="262" t="s">
        <v>201</v>
      </c>
      <c r="L193" s="119" t="s">
        <v>241</v>
      </c>
      <c r="M193" s="163">
        <v>0</v>
      </c>
      <c r="N193" s="118">
        <f>F187</f>
        <v>40000</v>
      </c>
      <c r="O193" s="118">
        <f>F195</f>
        <v>40000</v>
      </c>
      <c r="P193" s="118">
        <f>M193+N193-O193</f>
        <v>0</v>
      </c>
      <c r="Q193" s="131" t="s">
        <v>158</v>
      </c>
      <c r="R193" s="49">
        <v>0</v>
      </c>
      <c r="S193" s="133">
        <f>I192</f>
        <v>40000</v>
      </c>
      <c r="T193" s="133">
        <f>I195</f>
        <v>40000</v>
      </c>
      <c r="U193" s="165">
        <f>R193+S193-T193</f>
        <v>0</v>
      </c>
    </row>
    <row r="194" spans="2:21" x14ac:dyDescent="0.25">
      <c r="B194" s="129"/>
      <c r="C194" s="241" t="s">
        <v>159</v>
      </c>
      <c r="D194" s="241"/>
      <c r="E194" s="241"/>
      <c r="F194" s="241"/>
      <c r="G194" s="260"/>
      <c r="H194" s="260"/>
      <c r="I194" s="260"/>
      <c r="J194" s="260"/>
      <c r="L194" s="29" t="s">
        <v>174</v>
      </c>
      <c r="M194" s="163">
        <f>SUM(G89:G118)</f>
        <v>5169426.8635531748</v>
      </c>
      <c r="N194" s="118">
        <f>F188</f>
        <v>573.12267279178752</v>
      </c>
      <c r="O194" s="119"/>
      <c r="P194" s="118">
        <f>M194+N194-O194</f>
        <v>5169999.9862259664</v>
      </c>
      <c r="Q194" s="131" t="s">
        <v>175</v>
      </c>
      <c r="R194" s="49">
        <f>U101</f>
        <v>24970000</v>
      </c>
      <c r="S194" s="133"/>
      <c r="T194" s="131"/>
      <c r="U194" s="165">
        <f>R194+S194-T194</f>
        <v>24970000</v>
      </c>
    </row>
    <row r="195" spans="2:21" ht="45" x14ac:dyDescent="0.25">
      <c r="B195" s="129">
        <f>B193</f>
        <v>44867</v>
      </c>
      <c r="C195" s="29" t="s">
        <v>159</v>
      </c>
      <c r="D195" s="29" t="s">
        <v>161</v>
      </c>
      <c r="E195" s="29" t="s">
        <v>44</v>
      </c>
      <c r="F195" s="45">
        <f>O101</f>
        <v>40000</v>
      </c>
      <c r="G195" s="222" t="s">
        <v>160</v>
      </c>
      <c r="H195" s="222" t="s">
        <v>235</v>
      </c>
      <c r="I195" s="220">
        <f>L49</f>
        <v>40000</v>
      </c>
      <c r="J195" s="262" t="s">
        <v>159</v>
      </c>
      <c r="L195" s="162"/>
      <c r="M195" s="163"/>
      <c r="N195" s="118"/>
      <c r="O195" s="118"/>
      <c r="P195" s="118">
        <f>M195+N195-O195</f>
        <v>0</v>
      </c>
      <c r="Q195" s="164" t="s">
        <v>171</v>
      </c>
      <c r="R195" s="49">
        <v>0</v>
      </c>
      <c r="S195" s="49"/>
      <c r="T195" s="49"/>
      <c r="U195" s="165"/>
    </row>
    <row r="196" spans="2:21" x14ac:dyDescent="0.25">
      <c r="L196" s="166" t="s">
        <v>169</v>
      </c>
      <c r="M196" s="163">
        <f>SUM(M183:M195)</f>
        <v>-16266666.66666666</v>
      </c>
      <c r="N196" s="163">
        <f>SUM(N183:N195)</f>
        <v>38947812.912012249</v>
      </c>
      <c r="O196" s="163">
        <f>SUM(O183:O195)</f>
        <v>38947812.912012249</v>
      </c>
      <c r="P196" s="163">
        <f>SUM(P183:P195)</f>
        <v>-16266666.66666666</v>
      </c>
      <c r="Q196" s="164" t="s">
        <v>169</v>
      </c>
      <c r="R196" s="49">
        <f>SUM(R183:R195)</f>
        <v>2399999.9999999851</v>
      </c>
      <c r="S196" s="49">
        <f t="shared" ref="S196:U196" si="23">SUM(S183:S195)</f>
        <v>40280000.000000015</v>
      </c>
      <c r="T196" s="49">
        <f t="shared" si="23"/>
        <v>40280000.000000015</v>
      </c>
      <c r="U196" s="49">
        <f t="shared" si="23"/>
        <v>2400000</v>
      </c>
    </row>
    <row r="197" spans="2:21" x14ac:dyDescent="0.25">
      <c r="C197" t="s">
        <v>183</v>
      </c>
    </row>
    <row r="199" spans="2:21" x14ac:dyDescent="0.25">
      <c r="D199" s="174" t="s">
        <v>229</v>
      </c>
    </row>
  </sheetData>
  <mergeCells count="43">
    <mergeCell ref="G184:J184"/>
    <mergeCell ref="I65:I66"/>
    <mergeCell ref="C71:H71"/>
    <mergeCell ref="B72:C72"/>
    <mergeCell ref="E78:F78"/>
    <mergeCell ref="B82:H82"/>
    <mergeCell ref="B182:B183"/>
    <mergeCell ref="C182:C183"/>
    <mergeCell ref="D182:F182"/>
    <mergeCell ref="G182:J182"/>
    <mergeCell ref="B164:B165"/>
    <mergeCell ref="C164:C165"/>
    <mergeCell ref="D164:F164"/>
    <mergeCell ref="G164:J164"/>
    <mergeCell ref="B181:J181"/>
    <mergeCell ref="B163:J163"/>
    <mergeCell ref="F24:H24"/>
    <mergeCell ref="B64:C64"/>
    <mergeCell ref="A65:A66"/>
    <mergeCell ref="B65:B66"/>
    <mergeCell ref="C65:D65"/>
    <mergeCell ref="L83:R83"/>
    <mergeCell ref="B121:C121"/>
    <mergeCell ref="B124:B125"/>
    <mergeCell ref="C124:C125"/>
    <mergeCell ref="D124:F124"/>
    <mergeCell ref="G124:J124"/>
    <mergeCell ref="Q125:U125"/>
    <mergeCell ref="H83:I83"/>
    <mergeCell ref="J133:J134"/>
    <mergeCell ref="B142:C142"/>
    <mergeCell ref="C144:D144"/>
    <mergeCell ref="B146:B147"/>
    <mergeCell ref="C146:C147"/>
    <mergeCell ref="D146:F146"/>
    <mergeCell ref="G146:J146"/>
    <mergeCell ref="L181:P181"/>
    <mergeCell ref="Q181:U181"/>
    <mergeCell ref="L146:P146"/>
    <mergeCell ref="Q146:U146"/>
    <mergeCell ref="L125:P125"/>
    <mergeCell ref="L163:P163"/>
    <mergeCell ref="Q163:U163"/>
  </mergeCells>
  <hyperlinks>
    <hyperlink ref="D199" r:id="rId1" display="https://its.1c.ru/db/garant/content/12029425/hdoc/1000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аудиторы</vt:lpstr>
      <vt:lpstr>БУ +НУ на балансеЛП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Неля</dc:creator>
  <cp:lastModifiedBy>Пользователь Windows</cp:lastModifiedBy>
  <dcterms:created xsi:type="dcterms:W3CDTF">2021-10-28T12:10:49Z</dcterms:created>
  <dcterms:modified xsi:type="dcterms:W3CDTF">2022-01-11T10:52:04Z</dcterms:modified>
</cp:coreProperties>
</file>